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80" yWindow="135" windowWidth="14355" windowHeight="7935" activeTab="1"/>
  </bookViews>
  <sheets>
    <sheet name="Exhibit-A" sheetId="3" r:id="rId1"/>
    <sheet name="Exhibit-B" sheetId="4" r:id="rId2"/>
  </sheets>
  <externalReferences>
    <externalReference r:id="rId3"/>
  </externalReferences>
  <calcPr calcId="124519"/>
</workbook>
</file>

<file path=xl/calcChain.xml><?xml version="1.0" encoding="utf-8"?>
<calcChain xmlns="http://schemas.openxmlformats.org/spreadsheetml/2006/main">
  <c r="G21" i="4"/>
  <c r="D21"/>
  <c r="E21" s="1"/>
  <c r="B23" i="3"/>
  <c r="C23" s="1"/>
  <c r="B17"/>
  <c r="B37"/>
  <c r="B31"/>
  <c r="C28"/>
  <c r="D26"/>
  <c r="C26"/>
  <c r="C37" s="1"/>
  <c r="B25"/>
  <c r="C25" s="1"/>
  <c r="B24"/>
  <c r="C24" s="1"/>
  <c r="I21"/>
  <c r="I22" s="1"/>
  <c r="H21"/>
  <c r="H22" s="1"/>
  <c r="C20"/>
  <c r="C31" s="1"/>
  <c r="B19"/>
  <c r="B30" s="1"/>
  <c r="B18"/>
  <c r="B29" s="1"/>
  <c r="D13" i="4" l="1"/>
  <c r="D22"/>
  <c r="C18" i="3"/>
  <c r="D15" i="4"/>
  <c r="D14"/>
  <c r="B32" i="3"/>
  <c r="C19"/>
  <c r="C30" s="1"/>
  <c r="D20"/>
  <c r="E20" s="1"/>
  <c r="F20"/>
  <c r="C34"/>
  <c r="D24"/>
  <c r="C39"/>
  <c r="C33"/>
  <c r="D23"/>
  <c r="C36"/>
  <c r="C38" s="1"/>
  <c r="D25"/>
  <c r="B21"/>
  <c r="B22" s="1"/>
  <c r="E26"/>
  <c r="D28"/>
  <c r="B33"/>
  <c r="B34"/>
  <c r="B39" s="1"/>
  <c r="B36"/>
  <c r="B38" s="1"/>
  <c r="D18"/>
  <c r="D19"/>
  <c r="B25" i="4"/>
  <c r="B26" s="1"/>
  <c r="B28" s="1"/>
  <c r="F24"/>
  <c r="E24"/>
  <c r="D24"/>
  <c r="C24"/>
  <c r="F23"/>
  <c r="E23"/>
  <c r="D23"/>
  <c r="C23"/>
  <c r="C22"/>
  <c r="D20"/>
  <c r="E20" s="1"/>
  <c r="F20" s="1"/>
  <c r="G20" s="1"/>
  <c r="H20" s="1"/>
  <c r="I20" s="1"/>
  <c r="J20" s="1"/>
  <c r="C18"/>
  <c r="C15"/>
  <c r="C14"/>
  <c r="C13"/>
  <c r="C16" s="1"/>
  <c r="D12"/>
  <c r="E12" s="1"/>
  <c r="D3"/>
  <c r="D16" l="1"/>
  <c r="D17" s="1"/>
  <c r="D18"/>
  <c r="C17"/>
  <c r="C21" i="3"/>
  <c r="C22" s="1"/>
  <c r="E14" i="4"/>
  <c r="D49" s="1"/>
  <c r="E13"/>
  <c r="B35" i="3"/>
  <c r="C40"/>
  <c r="C29"/>
  <c r="C32" s="1"/>
  <c r="D30"/>
  <c r="E19"/>
  <c r="E28"/>
  <c r="D29"/>
  <c r="E25"/>
  <c r="D36"/>
  <c r="E23"/>
  <c r="D33"/>
  <c r="B40"/>
  <c r="D21"/>
  <c r="D22" s="1"/>
  <c r="E18"/>
  <c r="E37"/>
  <c r="F26"/>
  <c r="E24"/>
  <c r="D34"/>
  <c r="G20"/>
  <c r="D31"/>
  <c r="D37"/>
  <c r="C35"/>
  <c r="C41" s="1"/>
  <c r="C25" i="4"/>
  <c r="C26" s="1"/>
  <c r="C28" s="1"/>
  <c r="F12"/>
  <c r="E3"/>
  <c r="E22"/>
  <c r="E25" s="1"/>
  <c r="E26" s="1"/>
  <c r="E28" s="1"/>
  <c r="E46" s="1"/>
  <c r="E15"/>
  <c r="D48" s="1"/>
  <c r="F21"/>
  <c r="D25"/>
  <c r="D26" s="1"/>
  <c r="D28" s="1"/>
  <c r="D46" s="1"/>
  <c r="G24" l="1"/>
  <c r="G23"/>
  <c r="E18"/>
  <c r="D47"/>
  <c r="D51" s="1"/>
  <c r="D53" s="1"/>
  <c r="F14"/>
  <c r="E49" s="1"/>
  <c r="F13"/>
  <c r="E16"/>
  <c r="D39" i="3"/>
  <c r="D35"/>
  <c r="G26"/>
  <c r="E21"/>
  <c r="E22" s="1"/>
  <c r="F18"/>
  <c r="E33"/>
  <c r="F23"/>
  <c r="E36"/>
  <c r="E38" s="1"/>
  <c r="F25"/>
  <c r="E29"/>
  <c r="F28"/>
  <c r="F37" s="1"/>
  <c r="E31"/>
  <c r="E34"/>
  <c r="F24"/>
  <c r="E30"/>
  <c r="F19"/>
  <c r="E39"/>
  <c r="D38"/>
  <c r="D40" s="1"/>
  <c r="D32"/>
  <c r="F22" i="4"/>
  <c r="F25" s="1"/>
  <c r="F26" s="1"/>
  <c r="F28" s="1"/>
  <c r="F46" s="1"/>
  <c r="F15"/>
  <c r="G12"/>
  <c r="F3"/>
  <c r="E17" l="1"/>
  <c r="F18"/>
  <c r="H24"/>
  <c r="H23"/>
  <c r="G14"/>
  <c r="F49" s="1"/>
  <c r="G13"/>
  <c r="F16"/>
  <c r="E47"/>
  <c r="E35" i="3"/>
  <c r="G24"/>
  <c r="F34"/>
  <c r="F39" s="1"/>
  <c r="E32"/>
  <c r="E40"/>
  <c r="F30"/>
  <c r="G19"/>
  <c r="G30" s="1"/>
  <c r="G28"/>
  <c r="F29"/>
  <c r="F31"/>
  <c r="G25"/>
  <c r="G36" s="1"/>
  <c r="F36"/>
  <c r="G23"/>
  <c r="G33" s="1"/>
  <c r="F33"/>
  <c r="F21"/>
  <c r="F22" s="1"/>
  <c r="G18"/>
  <c r="G37"/>
  <c r="H12" i="4"/>
  <c r="G3"/>
  <c r="E48"/>
  <c r="E51" s="1"/>
  <c r="E53" s="1"/>
  <c r="G22"/>
  <c r="G25" s="1"/>
  <c r="G26" s="1"/>
  <c r="G28" s="1"/>
  <c r="G46" s="1"/>
  <c r="G15"/>
  <c r="H21"/>
  <c r="F17" l="1"/>
  <c r="I24"/>
  <c r="I23"/>
  <c r="G18"/>
  <c r="F32" i="3"/>
  <c r="H14" i="4"/>
  <c r="G49" s="1"/>
  <c r="H13"/>
  <c r="G16"/>
  <c r="G17" s="1"/>
  <c r="F47"/>
  <c r="G21" i="3"/>
  <c r="G22" s="1"/>
  <c r="F35"/>
  <c r="G38"/>
  <c r="G29"/>
  <c r="H28"/>
  <c r="G31"/>
  <c r="F38"/>
  <c r="F40" s="1"/>
  <c r="G34"/>
  <c r="G35" s="1"/>
  <c r="F48" i="4"/>
  <c r="I21"/>
  <c r="H22"/>
  <c r="H25" s="1"/>
  <c r="H26" s="1"/>
  <c r="H28" s="1"/>
  <c r="H46" s="1"/>
  <c r="H15"/>
  <c r="I12"/>
  <c r="H3"/>
  <c r="H18" l="1"/>
  <c r="J24"/>
  <c r="J23"/>
  <c r="F51"/>
  <c r="F53" s="1"/>
  <c r="I14"/>
  <c r="H49" s="1"/>
  <c r="I13"/>
  <c r="H16"/>
  <c r="G47"/>
  <c r="I28" i="3"/>
  <c r="H37"/>
  <c r="H36"/>
  <c r="H34"/>
  <c r="H33"/>
  <c r="H35" s="1"/>
  <c r="H31"/>
  <c r="H30"/>
  <c r="H29"/>
  <c r="G39"/>
  <c r="G40" s="1"/>
  <c r="G32"/>
  <c r="J12" i="4"/>
  <c r="J3" s="1"/>
  <c r="I3"/>
  <c r="G48"/>
  <c r="I22"/>
  <c r="I25" s="1"/>
  <c r="I26" s="1"/>
  <c r="I28" s="1"/>
  <c r="I46" s="1"/>
  <c r="I15"/>
  <c r="J21"/>
  <c r="H17" l="1"/>
  <c r="I18"/>
  <c r="G51"/>
  <c r="G53" s="1"/>
  <c r="J14"/>
  <c r="I49" s="1"/>
  <c r="J13"/>
  <c r="I16"/>
  <c r="H47"/>
  <c r="H32" i="3"/>
  <c r="I37"/>
  <c r="I36"/>
  <c r="I34"/>
  <c r="I33"/>
  <c r="I31"/>
  <c r="I30"/>
  <c r="I29"/>
  <c r="H38"/>
  <c r="H39"/>
  <c r="J22" i="4"/>
  <c r="J25" s="1"/>
  <c r="J26" s="1"/>
  <c r="J28" s="1"/>
  <c r="J15"/>
  <c r="H48"/>
  <c r="I17" l="1"/>
  <c r="J18"/>
  <c r="H51"/>
  <c r="H53" s="1"/>
  <c r="D55" s="1"/>
  <c r="J16"/>
  <c r="I47"/>
  <c r="I32" i="3"/>
  <c r="I39"/>
  <c r="H40"/>
  <c r="I35"/>
  <c r="I38"/>
  <c r="I40" s="1"/>
  <c r="I48" i="4"/>
  <c r="I51" s="1"/>
  <c r="D56" s="1"/>
  <c r="J17"/>
  <c r="C46" i="3" l="1"/>
  <c r="C47" s="1"/>
  <c r="D57" i="4"/>
  <c r="D61" s="1"/>
  <c r="I53"/>
</calcChain>
</file>

<file path=xl/sharedStrings.xml><?xml version="1.0" encoding="utf-8"?>
<sst xmlns="http://schemas.openxmlformats.org/spreadsheetml/2006/main" count="88" uniqueCount="86">
  <si>
    <t>Total Assets</t>
  </si>
  <si>
    <t>Income Statement</t>
  </si>
  <si>
    <t>Sales</t>
  </si>
  <si>
    <t>SG&amp;A</t>
  </si>
  <si>
    <t>Operating Income</t>
  </si>
  <si>
    <t>Net Income to Common</t>
  </si>
  <si>
    <t>Fiscal Year</t>
  </si>
  <si>
    <t>Gross Margin</t>
  </si>
  <si>
    <t>Current Liabilities/Sales</t>
  </si>
  <si>
    <t>Forecast Horizon</t>
  </si>
  <si>
    <t>Other Operating Expense/Sales</t>
  </si>
  <si>
    <t>Current Assets/Sales</t>
  </si>
  <si>
    <t>Historical</t>
  </si>
  <si>
    <t>Terminal Years</t>
  </si>
  <si>
    <t>Beginning Balance Sheet</t>
  </si>
  <si>
    <t xml:space="preserve">   Beg. Net Working Capital</t>
  </si>
  <si>
    <t>+ Beg. Net Long-Term Assets</t>
  </si>
  <si>
    <t>= Net Operating Assets</t>
  </si>
  <si>
    <t xml:space="preserve">   Net Debt</t>
  </si>
  <si>
    <t>+ Preferred Stock</t>
  </si>
  <si>
    <t>+ Shareholders' Equity</t>
  </si>
  <si>
    <t>= Net Capital</t>
  </si>
  <si>
    <t>Balance Sheet</t>
  </si>
  <si>
    <t>Current Assets</t>
  </si>
  <si>
    <t>Current Liabilities</t>
  </si>
  <si>
    <t>Long term assets</t>
  </si>
  <si>
    <t>Longterm Liabilities</t>
  </si>
  <si>
    <t>Shareholders Equity</t>
  </si>
  <si>
    <t xml:space="preserve">Gross Margin </t>
  </si>
  <si>
    <t xml:space="preserve">Other Operating Expense </t>
  </si>
  <si>
    <t xml:space="preserve"> Net income</t>
  </si>
  <si>
    <t>- Preferred dividends</t>
  </si>
  <si>
    <t>= Net income to common</t>
  </si>
  <si>
    <t xml:space="preserve"> Operating Return on Assets</t>
  </si>
  <si>
    <t xml:space="preserve"> Return on Common Equity</t>
  </si>
  <si>
    <t xml:space="preserve"> Book Value  of Assets Growth Rate</t>
  </si>
  <si>
    <t xml:space="preserve"> Book Value of Common Equity Growth Rate</t>
  </si>
  <si>
    <t xml:space="preserve"> Net Operating Asset Turnover</t>
  </si>
  <si>
    <t>Free Cash Flow to Capital</t>
  </si>
  <si>
    <t>Free Cash Flow to Equity</t>
  </si>
  <si>
    <t>Discount Factor - Capital</t>
  </si>
  <si>
    <t>Discount Factor - Common Equity</t>
  </si>
  <si>
    <t>Book Value of Equity Growth Factor (cumulative)</t>
  </si>
  <si>
    <t>Cost of Common Equity</t>
  </si>
  <si>
    <t>Weighted Average Cost of Capital (WACC)</t>
  </si>
  <si>
    <t>DCF Valuation of the Equity</t>
  </si>
  <si>
    <t>- Investment in Net Working Capital</t>
  </si>
  <si>
    <t>- Investment in Net Long-Term Assets</t>
  </si>
  <si>
    <t>+ Increase in debt obligations</t>
  </si>
  <si>
    <t>+ Increase in preferred equity</t>
  </si>
  <si>
    <t>= Free Cash Flow to Equity</t>
  </si>
  <si>
    <t>* Discount factor - Common Equity (CAPM)</t>
  </si>
  <si>
    <t>= Present value of Free Cash Flow to Equity</t>
  </si>
  <si>
    <t xml:space="preserve">  PV of FCF to Equity (years 1-5)</t>
  </si>
  <si>
    <t>+PV of FCF to Equity beyond Year 5</t>
  </si>
  <si>
    <t>= Value of the Equity</t>
  </si>
  <si>
    <t>Number of shares outstanding (MM)</t>
  </si>
  <si>
    <t>Estimated value per share</t>
  </si>
  <si>
    <t>Terminal Values*</t>
  </si>
  <si>
    <t>Sales Growth Rate</t>
  </si>
  <si>
    <t>SG&amp;A /Sales</t>
  </si>
  <si>
    <t>EBIT/Sales</t>
  </si>
  <si>
    <t>Operating Profit After Tax/Sales</t>
  </si>
  <si>
    <t>Long-term Assets/Sales</t>
  </si>
  <si>
    <t>Longterm Liabilities/Sales</t>
  </si>
  <si>
    <t>sales</t>
  </si>
  <si>
    <t>gm</t>
  </si>
  <si>
    <t>Other exp</t>
  </si>
  <si>
    <t>NI</t>
  </si>
  <si>
    <t>CA</t>
  </si>
  <si>
    <t>CL</t>
  </si>
  <si>
    <t>WC</t>
  </si>
  <si>
    <t>lta</t>
  </si>
  <si>
    <t>LTL</t>
  </si>
  <si>
    <t>TA</t>
  </si>
  <si>
    <t>TL</t>
  </si>
  <si>
    <t>Sequity</t>
  </si>
  <si>
    <t>CF</t>
  </si>
  <si>
    <t>Risk free rate</t>
  </si>
  <si>
    <t>Tax rate</t>
  </si>
  <si>
    <t>Cost of Equity</t>
  </si>
  <si>
    <t>Cost of Capital (WACC)</t>
  </si>
  <si>
    <t>* NOTE: Terminal Values (2010, 2011) based on men's and boys' apparel retailers' average</t>
  </si>
  <si>
    <t>Cost of Capital</t>
  </si>
  <si>
    <t>Estimated Value Per Share</t>
  </si>
  <si>
    <t>Market Capitalization ($ Millions)</t>
  </si>
</sst>
</file>

<file path=xl/styles.xml><?xml version="1.0" encoding="utf-8"?>
<styleSheet xmlns="http://schemas.openxmlformats.org/spreadsheetml/2006/main">
  <numFmts count="4">
    <numFmt numFmtId="43" formatCode="_(* #,##0.00_);_(* \(#,##0.00\);_(* &quot;-&quot;??_);_(@_)"/>
    <numFmt numFmtId="164" formatCode="_(* #,##0.0_);_(* \(#,##0.0\);_(* &quot;-&quot;??_);_(@_)"/>
    <numFmt numFmtId="165" formatCode="0.0%"/>
    <numFmt numFmtId="166" formatCode="_(* #,##0_);_(* \(#,##0\);_(* &quot;-&quot;??_);_(@_)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4"/>
      <color indexed="10"/>
      <name val="Arial"/>
      <family val="2"/>
    </font>
    <font>
      <b/>
      <sz val="11"/>
      <name val="Arial"/>
      <family val="2"/>
    </font>
    <font>
      <sz val="14"/>
      <name val="Arial"/>
      <family val="2"/>
    </font>
    <font>
      <sz val="10"/>
      <color indexed="10"/>
      <name val="Arial"/>
      <family val="2"/>
    </font>
    <font>
      <sz val="11"/>
      <name val="Arial"/>
      <family val="2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</fills>
  <borders count="12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9">
    <xf numFmtId="0" fontId="0" fillId="0" borderId="0" xfId="0"/>
    <xf numFmtId="0" fontId="0" fillId="0" borderId="0" xfId="0" applyFill="1"/>
    <xf numFmtId="0" fontId="6" fillId="0" borderId="0" xfId="0" applyFont="1" applyFill="1" applyBorder="1" applyAlignment="1" applyProtection="1">
      <alignment horizontal="left" indent="1"/>
    </xf>
    <xf numFmtId="0" fontId="0" fillId="0" borderId="0" xfId="0" applyFill="1" applyBorder="1"/>
    <xf numFmtId="0" fontId="2" fillId="0" borderId="0" xfId="0" applyFont="1" applyFill="1"/>
    <xf numFmtId="0" fontId="6" fillId="0" borderId="0" xfId="0" applyFont="1" applyFill="1"/>
    <xf numFmtId="164" fontId="6" fillId="0" borderId="0" xfId="0" applyNumberFormat="1" applyFont="1" applyFill="1"/>
    <xf numFmtId="43" fontId="0" fillId="0" borderId="0" xfId="0" applyNumberFormat="1" applyFill="1" applyBorder="1"/>
    <xf numFmtId="0" fontId="5" fillId="0" borderId="0" xfId="0" applyFont="1" applyFill="1" applyBorder="1"/>
    <xf numFmtId="0" fontId="10" fillId="0" borderId="0" xfId="0" applyFont="1" applyFill="1"/>
    <xf numFmtId="0" fontId="10" fillId="0" borderId="0" xfId="0" applyFont="1" applyFill="1" applyAlignment="1">
      <alignment horizontal="right"/>
    </xf>
    <xf numFmtId="0" fontId="3" fillId="0" borderId="0" xfId="0" applyFont="1" applyFill="1"/>
    <xf numFmtId="0" fontId="12" fillId="0" borderId="0" xfId="0" applyFont="1" applyFill="1"/>
    <xf numFmtId="0" fontId="13" fillId="0" borderId="0" xfId="0" applyFont="1" applyFill="1"/>
    <xf numFmtId="0" fontId="6" fillId="0" borderId="0" xfId="0" applyFont="1" applyFill="1" applyBorder="1" applyAlignment="1" applyProtection="1">
      <alignment horizontal="left"/>
    </xf>
    <xf numFmtId="0" fontId="11" fillId="0" borderId="0" xfId="0" applyFont="1" applyFill="1" applyProtection="1">
      <protection locked="0"/>
    </xf>
    <xf numFmtId="0" fontId="11" fillId="0" borderId="0" xfId="0" applyFont="1" applyFill="1" applyAlignment="1" applyProtection="1">
      <alignment horizontal="right"/>
      <protection locked="0"/>
    </xf>
    <xf numFmtId="0" fontId="8" fillId="0" borderId="0" xfId="0" applyFont="1" applyFill="1" applyBorder="1"/>
    <xf numFmtId="0" fontId="10" fillId="0" borderId="0" xfId="0" applyFont="1" applyFill="1" applyBorder="1"/>
    <xf numFmtId="0" fontId="10" fillId="0" borderId="0" xfId="0" applyFont="1" applyFill="1" applyBorder="1" applyAlignment="1">
      <alignment horizontal="right"/>
    </xf>
    <xf numFmtId="0" fontId="5" fillId="0" borderId="0" xfId="0" applyFont="1" applyFill="1" applyBorder="1" applyAlignment="1">
      <alignment horizontal="right"/>
    </xf>
    <xf numFmtId="165" fontId="6" fillId="0" borderId="0" xfId="0" applyNumberFormat="1" applyFont="1" applyFill="1" applyBorder="1"/>
    <xf numFmtId="164" fontId="0" fillId="0" borderId="0" xfId="1" applyNumberFormat="1" applyFont="1" applyFill="1" applyAlignment="1">
      <alignment horizontal="right"/>
    </xf>
    <xf numFmtId="166" fontId="0" fillId="0" borderId="0" xfId="0" applyNumberFormat="1" applyFill="1" applyAlignment="1">
      <alignment horizontal="right"/>
    </xf>
    <xf numFmtId="0" fontId="0" fillId="0" borderId="0" xfId="0" applyFill="1" applyAlignment="1">
      <alignment horizontal="right"/>
    </xf>
    <xf numFmtId="43" fontId="6" fillId="0" borderId="0" xfId="1" applyFont="1" applyFill="1"/>
    <xf numFmtId="0" fontId="4" fillId="0" borderId="8" xfId="0" applyFont="1" applyFill="1" applyBorder="1" applyAlignment="1" applyProtection="1">
      <alignment horizontal="left"/>
    </xf>
    <xf numFmtId="164" fontId="0" fillId="2" borderId="0" xfId="1" applyNumberFormat="1" applyFont="1" applyFill="1" applyAlignment="1">
      <alignment horizontal="right"/>
    </xf>
    <xf numFmtId="0" fontId="6" fillId="2" borderId="6" xfId="0" applyFont="1" applyFill="1" applyBorder="1" applyAlignment="1" applyProtection="1">
      <alignment horizontal="left" indent="1"/>
    </xf>
    <xf numFmtId="165" fontId="6" fillId="2" borderId="2" xfId="0" applyNumberFormat="1" applyFont="1" applyFill="1" applyBorder="1" applyAlignment="1" applyProtection="1">
      <alignment horizontal="right"/>
      <protection locked="0"/>
    </xf>
    <xf numFmtId="0" fontId="6" fillId="2" borderId="8" xfId="0" applyFont="1" applyFill="1" applyBorder="1" applyAlignment="1" applyProtection="1">
      <alignment horizontal="left" indent="1"/>
    </xf>
    <xf numFmtId="9" fontId="6" fillId="2" borderId="3" xfId="0" applyNumberFormat="1" applyFont="1" applyFill="1" applyBorder="1" applyAlignment="1" applyProtection="1">
      <alignment horizontal="right"/>
      <protection locked="0"/>
    </xf>
    <xf numFmtId="165" fontId="6" fillId="2" borderId="3" xfId="0" applyNumberFormat="1" applyFont="1" applyFill="1" applyBorder="1" applyAlignment="1" applyProtection="1">
      <alignment horizontal="right"/>
      <protection locked="0"/>
    </xf>
    <xf numFmtId="0" fontId="6" fillId="2" borderId="9" xfId="0" applyFont="1" applyFill="1" applyBorder="1" applyAlignment="1" applyProtection="1">
      <alignment horizontal="left" indent="1"/>
    </xf>
    <xf numFmtId="165" fontId="6" fillId="2" borderId="1" xfId="0" applyNumberFormat="1" applyFont="1" applyFill="1" applyBorder="1"/>
    <xf numFmtId="0" fontId="7" fillId="0" borderId="7" xfId="0" applyFont="1" applyFill="1" applyBorder="1" applyAlignment="1"/>
    <xf numFmtId="0" fontId="7" fillId="2" borderId="7" xfId="0" applyFont="1" applyFill="1" applyBorder="1" applyAlignment="1"/>
    <xf numFmtId="0" fontId="2" fillId="2" borderId="0" xfId="0" applyFont="1" applyFill="1"/>
    <xf numFmtId="0" fontId="0" fillId="2" borderId="0" xfId="0" applyFill="1"/>
    <xf numFmtId="0" fontId="6" fillId="2" borderId="0" xfId="0" applyFont="1" applyFill="1"/>
    <xf numFmtId="164" fontId="6" fillId="2" borderId="0" xfId="1" applyNumberFormat="1" applyFont="1" applyFill="1"/>
    <xf numFmtId="164" fontId="6" fillId="2" borderId="4" xfId="1" applyNumberFormat="1" applyFont="1" applyFill="1" applyBorder="1"/>
    <xf numFmtId="164" fontId="6" fillId="2" borderId="10" xfId="1" applyNumberFormat="1" applyFont="1" applyFill="1" applyBorder="1"/>
    <xf numFmtId="164" fontId="6" fillId="2" borderId="11" xfId="1" applyNumberFormat="1" applyFont="1" applyFill="1" applyBorder="1"/>
    <xf numFmtId="0" fontId="0" fillId="2" borderId="0" xfId="0" applyFill="1" applyAlignment="1">
      <alignment horizontal="left"/>
    </xf>
    <xf numFmtId="43" fontId="6" fillId="2" borderId="0" xfId="1" applyFont="1" applyFill="1"/>
    <xf numFmtId="164" fontId="6" fillId="2" borderId="5" xfId="1" applyNumberFormat="1" applyFont="1" applyFill="1" applyBorder="1"/>
    <xf numFmtId="164" fontId="2" fillId="2" borderId="5" xfId="1" applyNumberFormat="1" applyFont="1" applyFill="1" applyBorder="1"/>
    <xf numFmtId="0" fontId="2" fillId="2" borderId="4" xfId="0" applyFont="1" applyFill="1" applyBorder="1"/>
    <xf numFmtId="0" fontId="2" fillId="2" borderId="10" xfId="0" applyFont="1" applyFill="1" applyBorder="1"/>
    <xf numFmtId="0" fontId="2" fillId="2" borderId="11" xfId="0" applyFont="1" applyFill="1" applyBorder="1"/>
    <xf numFmtId="43" fontId="0" fillId="0" borderId="0" xfId="0" applyNumberFormat="1" applyFill="1"/>
    <xf numFmtId="0" fontId="12" fillId="0" borderId="5" xfId="0" applyFont="1" applyFill="1" applyBorder="1"/>
    <xf numFmtId="164" fontId="12" fillId="0" borderId="1" xfId="1" applyNumberFormat="1" applyFont="1" applyFill="1" applyBorder="1"/>
    <xf numFmtId="0" fontId="12" fillId="0" borderId="6" xfId="0" applyFont="1" applyFill="1" applyBorder="1"/>
    <xf numFmtId="164" fontId="12" fillId="0" borderId="5" xfId="1" applyNumberFormat="1" applyFont="1" applyFill="1" applyBorder="1"/>
    <xf numFmtId="0" fontId="9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2" fillId="0" borderId="0" xfId="0" applyFont="1" applyFill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1</xdr:row>
      <xdr:rowOff>85725</xdr:rowOff>
    </xdr:from>
    <xdr:to>
      <xdr:col>1</xdr:col>
      <xdr:colOff>838200</xdr:colOff>
      <xdr:row>8</xdr:row>
      <xdr:rowOff>85725</xdr:rowOff>
    </xdr:to>
    <xdr:sp macro="" textlink="">
      <xdr:nvSpPr>
        <xdr:cNvPr id="2" name="Rounded Rectangle 1"/>
        <xdr:cNvSpPr/>
      </xdr:nvSpPr>
      <xdr:spPr>
        <a:xfrm>
          <a:off x="114300" y="314325"/>
          <a:ext cx="2924175" cy="1000125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1600" b="1"/>
            <a:t>John B. River</a:t>
          </a:r>
        </a:p>
        <a:p>
          <a:pPr algn="ctr"/>
          <a:endParaRPr lang="en-US" sz="1600" b="1"/>
        </a:p>
        <a:p>
          <a:pPr algn="ctr"/>
          <a:r>
            <a:rPr lang="en-US" sz="1600" b="1"/>
            <a:t>Projection  ratios 2005-2011</a:t>
          </a:r>
        </a:p>
        <a:p>
          <a:pPr algn="ctr"/>
          <a:endParaRPr 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avid%20barman/David_berman_simplified_model.final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irections"/>
      <sheetName val="Consolidated Fin Statements"/>
      <sheetName val="Ratios"/>
      <sheetName val="Key Assumptions"/>
      <sheetName val="Proforma "/>
    </sheetNames>
    <sheetDataSet>
      <sheetData sheetId="0"/>
      <sheetData sheetId="1"/>
      <sheetData sheetId="2">
        <row r="5">
          <cell r="L5">
            <v>24.307548555029022</v>
          </cell>
        </row>
        <row r="10">
          <cell r="L10">
            <v>0.6035704697986578</v>
          </cell>
        </row>
        <row r="11">
          <cell r="L11">
            <v>0.48746308724832216</v>
          </cell>
        </row>
        <row r="15">
          <cell r="L15">
            <v>0.38836241610738254</v>
          </cell>
        </row>
        <row r="16">
          <cell r="L16">
            <v>0.20541476510067114</v>
          </cell>
        </row>
        <row r="17">
          <cell r="L17">
            <v>0.14902013422818791</v>
          </cell>
        </row>
      </sheetData>
      <sheetData sheetId="3">
        <row r="11">
          <cell r="C11">
            <v>18</v>
          </cell>
          <cell r="D11">
            <v>18</v>
          </cell>
          <cell r="E11">
            <v>18</v>
          </cell>
          <cell r="F11">
            <v>18</v>
          </cell>
          <cell r="G11">
            <v>10</v>
          </cell>
          <cell r="H11">
            <v>4</v>
          </cell>
          <cell r="I11">
            <v>4</v>
          </cell>
        </row>
        <row r="12">
          <cell r="B12">
            <v>60.357046979865778</v>
          </cell>
          <cell r="C12">
            <v>60.357046979865778</v>
          </cell>
          <cell r="D12">
            <v>60.357046979865778</v>
          </cell>
          <cell r="E12">
            <v>60.357046979865778</v>
          </cell>
          <cell r="F12">
            <v>60.357046979865778</v>
          </cell>
          <cell r="G12">
            <v>60.357046979865778</v>
          </cell>
          <cell r="H12">
            <v>56</v>
          </cell>
          <cell r="I12">
            <v>56</v>
          </cell>
        </row>
        <row r="13">
          <cell r="B13">
            <v>48.746308724832218</v>
          </cell>
          <cell r="C13">
            <v>48.746308724832218</v>
          </cell>
          <cell r="D13">
            <v>48.746308724832218</v>
          </cell>
          <cell r="E13">
            <v>48.746308724832218</v>
          </cell>
          <cell r="F13">
            <v>48.746308724832218</v>
          </cell>
          <cell r="G13">
            <v>48.746308724832218</v>
          </cell>
          <cell r="H13">
            <v>48.746308724832218</v>
          </cell>
          <cell r="I13">
            <v>48.746308724832218</v>
          </cell>
        </row>
        <row r="14">
          <cell r="B14">
            <v>1</v>
          </cell>
          <cell r="C14">
            <v>1</v>
          </cell>
          <cell r="D14">
            <v>1</v>
          </cell>
          <cell r="E14">
            <v>1</v>
          </cell>
          <cell r="F14">
            <v>1</v>
          </cell>
          <cell r="G14">
            <v>1</v>
          </cell>
          <cell r="H14">
            <v>1</v>
          </cell>
          <cell r="I14">
            <v>1</v>
          </cell>
        </row>
        <row r="17">
          <cell r="B17">
            <v>38.836241610738256</v>
          </cell>
        </row>
        <row r="18">
          <cell r="B18">
            <v>20.541476510067113</v>
          </cell>
        </row>
        <row r="19">
          <cell r="B19">
            <v>14.902013422818792</v>
          </cell>
          <cell r="D19">
            <v>14.902013422818792</v>
          </cell>
          <cell r="E19">
            <v>14.902013422818792</v>
          </cell>
          <cell r="F19">
            <v>14.902013422818792</v>
          </cell>
          <cell r="G19">
            <v>14.902013422818792</v>
          </cell>
          <cell r="H19">
            <v>14.902013422818792</v>
          </cell>
          <cell r="I19">
            <v>14.902013422818792</v>
          </cell>
        </row>
      </sheetData>
      <sheetData sheetId="4">
        <row r="18">
          <cell r="B18">
            <v>87.5</v>
          </cell>
          <cell r="C18">
            <v>110.22687500000001</v>
          </cell>
          <cell r="D18">
            <v>137.04458750000001</v>
          </cell>
          <cell r="E18">
            <v>168.68948825000001</v>
          </cell>
          <cell r="F18">
            <v>206.03047113500003</v>
          </cell>
          <cell r="G18">
            <v>250.09283093930003</v>
          </cell>
          <cell r="H18">
            <v>298.56142672403001</v>
          </cell>
          <cell r="I18">
            <v>328.27019272927976</v>
          </cell>
        </row>
        <row r="21">
          <cell r="C21">
            <v>372.5</v>
          </cell>
          <cell r="D21">
            <v>439.54999999999995</v>
          </cell>
          <cell r="E21">
            <v>518.66899999999987</v>
          </cell>
          <cell r="F21">
            <v>612.02941999999985</v>
          </cell>
          <cell r="G21">
            <v>722.19471559999977</v>
          </cell>
          <cell r="H21">
            <v>794.41418715999976</v>
          </cell>
          <cell r="I21">
            <v>826.1907546463998</v>
          </cell>
          <cell r="J21">
            <v>859.23838483225586</v>
          </cell>
        </row>
        <row r="28">
          <cell r="C28">
            <v>22.726875000000014</v>
          </cell>
          <cell r="D28">
            <v>26.817712499999995</v>
          </cell>
          <cell r="E28">
            <v>31.644900749999991</v>
          </cell>
          <cell r="F28">
            <v>37.340982885000017</v>
          </cell>
          <cell r="G28">
            <v>44.062359804300002</v>
          </cell>
          <cell r="H28">
            <v>48.468595784729978</v>
          </cell>
          <cell r="I28">
            <v>29.708766005249718</v>
          </cell>
          <cell r="J28">
            <v>30.897116645459739</v>
          </cell>
        </row>
        <row r="59">
          <cell r="D59">
            <v>13.5</v>
          </cell>
        </row>
        <row r="61">
          <cell r="D61">
            <v>43.585170842787065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56"/>
  <sheetViews>
    <sheetView showGridLines="0" topLeftCell="A7" workbookViewId="0">
      <selection activeCell="D13" sqref="D13"/>
    </sheetView>
  </sheetViews>
  <sheetFormatPr defaultColWidth="16.85546875" defaultRowHeight="15"/>
  <cols>
    <col min="1" max="1" width="33" style="1" customWidth="1"/>
    <col min="2" max="2" width="34" style="1" customWidth="1"/>
    <col min="3" max="16384" width="16.85546875" style="1"/>
  </cols>
  <sheetData>
    <row r="1" spans="1:9" ht="18">
      <c r="A1" s="8"/>
      <c r="B1" s="17"/>
      <c r="C1" s="17"/>
      <c r="D1" s="56"/>
      <c r="E1" s="56"/>
      <c r="F1" s="56"/>
      <c r="G1" s="56"/>
      <c r="H1" s="56"/>
      <c r="I1" s="56"/>
    </row>
    <row r="2" spans="1:9" ht="11.25" customHeight="1">
      <c r="A2" s="8"/>
      <c r="B2" s="18"/>
      <c r="C2" s="18"/>
      <c r="D2" s="9"/>
      <c r="E2" s="15"/>
      <c r="F2" s="15"/>
      <c r="G2" s="15"/>
      <c r="H2" s="15"/>
      <c r="I2" s="15"/>
    </row>
    <row r="3" spans="1:9" ht="11.25" customHeight="1">
      <c r="A3" s="8"/>
      <c r="B3" s="18"/>
      <c r="C3" s="18"/>
      <c r="D3" s="9"/>
      <c r="E3" s="15"/>
      <c r="F3" s="15"/>
      <c r="G3" s="15"/>
      <c r="H3" s="15"/>
      <c r="I3" s="15"/>
    </row>
    <row r="4" spans="1:9" ht="11.25" customHeight="1">
      <c r="A4" s="8"/>
      <c r="B4" s="18"/>
      <c r="C4" s="18"/>
      <c r="D4" s="9"/>
      <c r="E4" s="15"/>
      <c r="F4" s="15"/>
      <c r="G4" s="15"/>
      <c r="H4" s="15"/>
      <c r="I4" s="15"/>
    </row>
    <row r="5" spans="1:9" ht="11.25" customHeight="1">
      <c r="A5" s="8"/>
      <c r="B5" s="18"/>
      <c r="C5" s="18"/>
      <c r="D5" s="9"/>
      <c r="E5" s="15"/>
      <c r="F5" s="15"/>
      <c r="G5" s="15"/>
      <c r="H5" s="15"/>
      <c r="I5" s="15"/>
    </row>
    <row r="6" spans="1:9" ht="11.25" customHeight="1">
      <c r="A6" s="8"/>
      <c r="B6" s="18"/>
      <c r="C6" s="18"/>
      <c r="D6" s="9"/>
      <c r="E6" s="15"/>
      <c r="F6" s="15"/>
      <c r="G6" s="15"/>
      <c r="H6" s="15"/>
      <c r="I6" s="15"/>
    </row>
    <row r="7" spans="1:9" ht="11.25" customHeight="1">
      <c r="A7" s="8"/>
      <c r="B7" s="18"/>
      <c r="C7" s="18"/>
      <c r="D7" s="9"/>
      <c r="E7" s="15"/>
      <c r="F7" s="15"/>
      <c r="G7" s="15"/>
      <c r="H7" s="15"/>
      <c r="I7" s="15"/>
    </row>
    <row r="8" spans="1:9" ht="11.25" customHeight="1">
      <c r="A8" s="8"/>
      <c r="B8" s="18"/>
      <c r="C8" s="18"/>
      <c r="D8" s="9"/>
      <c r="E8" s="15"/>
      <c r="F8" s="15"/>
      <c r="G8" s="15"/>
      <c r="H8" s="15"/>
      <c r="I8" s="15"/>
    </row>
    <row r="9" spans="1:9" ht="17.25" customHeight="1">
      <c r="A9" s="8"/>
      <c r="B9" s="20"/>
      <c r="C9" s="19"/>
      <c r="D9" s="10"/>
      <c r="E9" s="16"/>
      <c r="F9" s="16"/>
      <c r="G9" s="16"/>
      <c r="H9" s="16"/>
      <c r="I9" s="16"/>
    </row>
    <row r="10" spans="1:9" ht="18.75" customHeight="1" thickBot="1">
      <c r="A10" s="26" t="s">
        <v>83</v>
      </c>
      <c r="B10" s="14"/>
      <c r="C10" s="3"/>
      <c r="E10" s="15"/>
      <c r="F10" s="15"/>
      <c r="G10" s="15"/>
      <c r="H10" s="15"/>
      <c r="I10" s="15"/>
    </row>
    <row r="11" spans="1:9" ht="17.25" customHeight="1">
      <c r="A11" s="28" t="s">
        <v>78</v>
      </c>
      <c r="B11" s="29">
        <v>4.2999999999999997E-2</v>
      </c>
      <c r="C11" s="3"/>
      <c r="E11" s="15"/>
      <c r="F11" s="15"/>
      <c r="G11" s="15"/>
      <c r="H11" s="15"/>
      <c r="I11" s="15"/>
    </row>
    <row r="12" spans="1:9" s="13" customFormat="1" ht="15.75" customHeight="1">
      <c r="A12" s="30" t="s">
        <v>79</v>
      </c>
      <c r="B12" s="31">
        <v>0.42</v>
      </c>
      <c r="C12" s="12"/>
    </row>
    <row r="13" spans="1:9" s="13" customFormat="1" ht="15.75" customHeight="1">
      <c r="A13" s="30" t="s">
        <v>80</v>
      </c>
      <c r="B13" s="32">
        <v>8.3000000000000004E-2</v>
      </c>
      <c r="C13" s="12"/>
    </row>
    <row r="14" spans="1:9" s="13" customFormat="1" ht="15.75" customHeight="1" thickBot="1">
      <c r="A14" s="33" t="s">
        <v>81</v>
      </c>
      <c r="B14" s="34">
        <v>7.9000000000000001E-2</v>
      </c>
      <c r="C14" s="12"/>
    </row>
    <row r="15" spans="1:9" ht="15.75" customHeight="1">
      <c r="A15" s="11"/>
      <c r="C15" s="57" t="s">
        <v>9</v>
      </c>
      <c r="D15" s="57"/>
      <c r="E15" s="57"/>
      <c r="F15" s="57"/>
      <c r="G15" s="57"/>
      <c r="H15" s="57" t="s">
        <v>58</v>
      </c>
      <c r="I15" s="57"/>
    </row>
    <row r="16" spans="1:9" ht="14.25" customHeight="1" thickBot="1">
      <c r="A16" s="1" t="s">
        <v>6</v>
      </c>
      <c r="B16" s="35">
        <v>2004</v>
      </c>
      <c r="C16" s="36">
        <v>2005</v>
      </c>
      <c r="D16" s="36">
        <v>2006</v>
      </c>
      <c r="E16" s="36">
        <v>2007</v>
      </c>
      <c r="F16" s="36">
        <v>2008</v>
      </c>
      <c r="G16" s="36">
        <v>2009</v>
      </c>
      <c r="H16" s="35">
        <v>2010</v>
      </c>
      <c r="I16" s="35">
        <v>2011</v>
      </c>
    </row>
    <row r="17" spans="1:9" ht="13.5" customHeight="1">
      <c r="A17" s="1" t="s">
        <v>59</v>
      </c>
      <c r="B17" s="22">
        <f>[1]Ratios!L5</f>
        <v>24.307548555029022</v>
      </c>
      <c r="C17" s="27">
        <v>18</v>
      </c>
      <c r="D17" s="27">
        <v>18</v>
      </c>
      <c r="E17" s="27">
        <v>18</v>
      </c>
      <c r="F17" s="27">
        <v>18</v>
      </c>
      <c r="G17" s="27">
        <v>10</v>
      </c>
      <c r="H17" s="22">
        <v>4</v>
      </c>
      <c r="I17" s="22">
        <v>4</v>
      </c>
    </row>
    <row r="18" spans="1:9" ht="13.5" customHeight="1">
      <c r="A18" s="1" t="s">
        <v>7</v>
      </c>
      <c r="B18" s="22">
        <f>([1]Ratios!L10 )*100</f>
        <v>60.357046979865778</v>
      </c>
      <c r="C18" s="27">
        <f>B18</f>
        <v>60.357046979865778</v>
      </c>
      <c r="D18" s="27">
        <f t="shared" ref="C18:G20" si="0">C18</f>
        <v>60.357046979865778</v>
      </c>
      <c r="E18" s="27">
        <f t="shared" si="0"/>
        <v>60.357046979865778</v>
      </c>
      <c r="F18" s="27">
        <f t="shared" si="0"/>
        <v>60.357046979865778</v>
      </c>
      <c r="G18" s="27">
        <f t="shared" si="0"/>
        <v>60.357046979865778</v>
      </c>
      <c r="H18" s="22">
        <v>56</v>
      </c>
      <c r="I18" s="22">
        <v>56</v>
      </c>
    </row>
    <row r="19" spans="1:9" ht="13.5" customHeight="1">
      <c r="A19" s="1" t="s">
        <v>60</v>
      </c>
      <c r="B19" s="22">
        <f>[1]Ratios!L11*100</f>
        <v>48.746308724832218</v>
      </c>
      <c r="C19" s="27">
        <f t="shared" si="0"/>
        <v>48.746308724832218</v>
      </c>
      <c r="D19" s="27">
        <f t="shared" si="0"/>
        <v>48.746308724832218</v>
      </c>
      <c r="E19" s="27">
        <f t="shared" si="0"/>
        <v>48.746308724832218</v>
      </c>
      <c r="F19" s="27">
        <f t="shared" si="0"/>
        <v>48.746308724832218</v>
      </c>
      <c r="G19" s="27">
        <f t="shared" si="0"/>
        <v>48.746308724832218</v>
      </c>
      <c r="H19" s="22">
        <v>48.746308724832218</v>
      </c>
      <c r="I19" s="22">
        <v>48.746308724832218</v>
      </c>
    </row>
    <row r="20" spans="1:9" ht="13.5" customHeight="1">
      <c r="A20" s="1" t="s">
        <v>10</v>
      </c>
      <c r="B20" s="23">
        <v>1</v>
      </c>
      <c r="C20" s="27">
        <f t="shared" si="0"/>
        <v>1</v>
      </c>
      <c r="D20" s="27">
        <f t="shared" si="0"/>
        <v>1</v>
      </c>
      <c r="E20" s="27">
        <f t="shared" si="0"/>
        <v>1</v>
      </c>
      <c r="F20" s="27">
        <f t="shared" si="0"/>
        <v>1</v>
      </c>
      <c r="G20" s="27">
        <f t="shared" si="0"/>
        <v>1</v>
      </c>
      <c r="H20" s="23">
        <v>1</v>
      </c>
      <c r="I20" s="23">
        <v>1</v>
      </c>
    </row>
    <row r="21" spans="1:9" ht="13.5" customHeight="1">
      <c r="A21" s="1" t="s">
        <v>61</v>
      </c>
      <c r="B21" s="22">
        <f>B18-B19-B20</f>
        <v>10.61073825503356</v>
      </c>
      <c r="C21" s="27">
        <f>C18-C19-C20</f>
        <v>10.61073825503356</v>
      </c>
      <c r="D21" s="27">
        <f t="shared" ref="D21:I21" si="1">D18-D19-D20</f>
        <v>10.61073825503356</v>
      </c>
      <c r="E21" s="27">
        <f t="shared" si="1"/>
        <v>10.61073825503356</v>
      </c>
      <c r="F21" s="27">
        <f t="shared" si="1"/>
        <v>10.61073825503356</v>
      </c>
      <c r="G21" s="27">
        <f t="shared" si="1"/>
        <v>10.61073825503356</v>
      </c>
      <c r="H21" s="22">
        <f t="shared" si="1"/>
        <v>6.2536912751677818</v>
      </c>
      <c r="I21" s="22">
        <f t="shared" si="1"/>
        <v>6.2536912751677818</v>
      </c>
    </row>
    <row r="22" spans="1:9" ht="13.5" customHeight="1">
      <c r="A22" s="1" t="s">
        <v>62</v>
      </c>
      <c r="B22" s="22">
        <f t="shared" ref="B22:I22" si="2">B21*0.575</f>
        <v>6.1011744966442967</v>
      </c>
      <c r="C22" s="27">
        <f t="shared" si="2"/>
        <v>6.1011744966442967</v>
      </c>
      <c r="D22" s="27">
        <f t="shared" si="2"/>
        <v>6.1011744966442967</v>
      </c>
      <c r="E22" s="27">
        <f t="shared" si="2"/>
        <v>6.1011744966442967</v>
      </c>
      <c r="F22" s="27">
        <f t="shared" si="2"/>
        <v>6.1011744966442967</v>
      </c>
      <c r="G22" s="27">
        <f t="shared" si="2"/>
        <v>6.1011744966442967</v>
      </c>
      <c r="H22" s="22">
        <f t="shared" si="2"/>
        <v>3.5958724832214743</v>
      </c>
      <c r="I22" s="22">
        <f t="shared" si="2"/>
        <v>3.5958724832214743</v>
      </c>
    </row>
    <row r="23" spans="1:9" ht="13.5" customHeight="1">
      <c r="A23" s="1" t="s">
        <v>11</v>
      </c>
      <c r="B23" s="22">
        <f>[1]Ratios!L15*100</f>
        <v>38.836241610738256</v>
      </c>
      <c r="C23" s="27">
        <f t="shared" ref="C23:G26" si="3">B23</f>
        <v>38.836241610738256</v>
      </c>
      <c r="D23" s="27">
        <f t="shared" si="3"/>
        <v>38.836241610738256</v>
      </c>
      <c r="E23" s="27">
        <f t="shared" si="3"/>
        <v>38.836241610738256</v>
      </c>
      <c r="F23" s="27">
        <f t="shared" si="3"/>
        <v>38.836241610738256</v>
      </c>
      <c r="G23" s="27">
        <f t="shared" si="3"/>
        <v>38.836241610738256</v>
      </c>
      <c r="H23" s="22">
        <v>31</v>
      </c>
      <c r="I23" s="22">
        <v>31</v>
      </c>
    </row>
    <row r="24" spans="1:9" ht="13.5" customHeight="1">
      <c r="A24" s="1" t="s">
        <v>8</v>
      </c>
      <c r="B24" s="22">
        <f>[1]Ratios!L16*100</f>
        <v>20.541476510067113</v>
      </c>
      <c r="C24" s="27">
        <f t="shared" si="3"/>
        <v>20.541476510067113</v>
      </c>
      <c r="D24" s="27">
        <f t="shared" si="3"/>
        <v>20.541476510067113</v>
      </c>
      <c r="E24" s="27">
        <f t="shared" si="3"/>
        <v>20.541476510067113</v>
      </c>
      <c r="F24" s="27">
        <f t="shared" si="3"/>
        <v>20.541476510067113</v>
      </c>
      <c r="G24" s="27">
        <f t="shared" si="3"/>
        <v>20.541476510067113</v>
      </c>
      <c r="H24" s="22">
        <v>20.541476510067113</v>
      </c>
      <c r="I24" s="22">
        <v>20.541476510067113</v>
      </c>
    </row>
    <row r="25" spans="1:9" ht="13.5" customHeight="1">
      <c r="A25" s="1" t="s">
        <v>63</v>
      </c>
      <c r="B25" s="22">
        <f>[1]Ratios!L17*100</f>
        <v>14.902013422818792</v>
      </c>
      <c r="C25" s="27">
        <f t="shared" si="3"/>
        <v>14.902013422818792</v>
      </c>
      <c r="D25" s="27">
        <f t="shared" si="3"/>
        <v>14.902013422818792</v>
      </c>
      <c r="E25" s="27">
        <f t="shared" si="3"/>
        <v>14.902013422818792</v>
      </c>
      <c r="F25" s="27">
        <f t="shared" si="3"/>
        <v>14.902013422818792</v>
      </c>
      <c r="G25" s="27">
        <f t="shared" si="3"/>
        <v>14.902013422818792</v>
      </c>
      <c r="H25" s="22">
        <v>14.902013422818792</v>
      </c>
      <c r="I25" s="22">
        <v>14.902013422818792</v>
      </c>
    </row>
    <row r="26" spans="1:9" ht="13.5" customHeight="1">
      <c r="A26" s="1" t="s">
        <v>64</v>
      </c>
      <c r="B26" s="24">
        <v>7</v>
      </c>
      <c r="C26" s="27">
        <f t="shared" si="3"/>
        <v>7</v>
      </c>
      <c r="D26" s="27">
        <f t="shared" si="3"/>
        <v>7</v>
      </c>
      <c r="E26" s="27">
        <f t="shared" si="3"/>
        <v>7</v>
      </c>
      <c r="F26" s="27">
        <f t="shared" si="3"/>
        <v>7</v>
      </c>
      <c r="G26" s="27">
        <f t="shared" si="3"/>
        <v>7</v>
      </c>
      <c r="H26" s="24">
        <v>7</v>
      </c>
      <c r="I26" s="24">
        <v>7</v>
      </c>
    </row>
    <row r="27" spans="1:9" ht="9.75" customHeight="1"/>
    <row r="28" spans="1:9" ht="15" hidden="1" customHeight="1">
      <c r="A28" s="1" t="s">
        <v>65</v>
      </c>
      <c r="B28" s="1">
        <v>2.4300000000000002</v>
      </c>
      <c r="C28" s="1">
        <f t="shared" ref="C28:I28" si="4">B28*(1+C17/100)</f>
        <v>2.8673999999999999</v>
      </c>
      <c r="D28" s="1">
        <f t="shared" si="4"/>
        <v>3.3835319999999998</v>
      </c>
      <c r="E28" s="1">
        <f t="shared" si="4"/>
        <v>3.9925677599999996</v>
      </c>
      <c r="F28" s="1">
        <f t="shared" si="4"/>
        <v>4.7112299567999996</v>
      </c>
      <c r="G28" s="1">
        <f t="shared" si="4"/>
        <v>5.1823529524799996</v>
      </c>
      <c r="H28" s="1">
        <f t="shared" si="4"/>
        <v>5.3896470705791995</v>
      </c>
      <c r="I28" s="1">
        <f t="shared" si="4"/>
        <v>5.6052329534023677</v>
      </c>
    </row>
    <row r="29" spans="1:9" ht="15" hidden="1" customHeight="1">
      <c r="A29" s="1" t="s">
        <v>66</v>
      </c>
      <c r="B29" s="1">
        <f t="shared" ref="B29:I29" si="5">B28*B18</f>
        <v>146.66762416107386</v>
      </c>
      <c r="C29" s="1">
        <f t="shared" si="5"/>
        <v>173.06779651006713</v>
      </c>
      <c r="D29" s="1">
        <f t="shared" si="5"/>
        <v>204.2199998818792</v>
      </c>
      <c r="E29" s="1">
        <f t="shared" si="5"/>
        <v>240.97959986061744</v>
      </c>
      <c r="F29" s="1">
        <f t="shared" si="5"/>
        <v>284.35592783552858</v>
      </c>
      <c r="G29" s="1">
        <f t="shared" si="5"/>
        <v>312.79152061908144</v>
      </c>
      <c r="H29" s="1">
        <f t="shared" si="5"/>
        <v>301.82023595243516</v>
      </c>
      <c r="I29" s="1">
        <f t="shared" si="5"/>
        <v>313.89304539053262</v>
      </c>
    </row>
    <row r="30" spans="1:9" ht="15" hidden="1" customHeight="1">
      <c r="A30" s="1" t="s">
        <v>3</v>
      </c>
      <c r="B30" s="1">
        <f t="shared" ref="B30:I30" si="6">B19*B28</f>
        <v>118.4535302013423</v>
      </c>
      <c r="C30" s="1">
        <f t="shared" si="6"/>
        <v>139.77516563758391</v>
      </c>
      <c r="D30" s="1">
        <f t="shared" si="6"/>
        <v>164.93469545234899</v>
      </c>
      <c r="E30" s="1">
        <f t="shared" si="6"/>
        <v>194.6229406337718</v>
      </c>
      <c r="F30" s="1">
        <f t="shared" si="6"/>
        <v>229.65506994785073</v>
      </c>
      <c r="G30" s="1">
        <f t="shared" si="6"/>
        <v>252.62057694263581</v>
      </c>
      <c r="H30" s="1">
        <f t="shared" si="6"/>
        <v>262.72540002034123</v>
      </c>
      <c r="I30" s="1">
        <f t="shared" si="6"/>
        <v>273.23441602115491</v>
      </c>
    </row>
    <row r="31" spans="1:9" ht="15" hidden="1" customHeight="1">
      <c r="A31" s="1" t="s">
        <v>67</v>
      </c>
      <c r="B31" s="1">
        <f t="shared" ref="B31:I31" si="7">B20*B28</f>
        <v>2.4300000000000002</v>
      </c>
      <c r="C31" s="1">
        <f t="shared" si="7"/>
        <v>2.8673999999999999</v>
      </c>
      <c r="D31" s="1">
        <f t="shared" si="7"/>
        <v>3.3835319999999998</v>
      </c>
      <c r="E31" s="1">
        <f t="shared" si="7"/>
        <v>3.9925677599999996</v>
      </c>
      <c r="F31" s="1">
        <f t="shared" si="7"/>
        <v>4.7112299567999996</v>
      </c>
      <c r="G31" s="1">
        <f t="shared" si="7"/>
        <v>5.1823529524799996</v>
      </c>
      <c r="H31" s="1">
        <f t="shared" si="7"/>
        <v>5.3896470705791995</v>
      </c>
      <c r="I31" s="1">
        <f t="shared" si="7"/>
        <v>5.6052329534023677</v>
      </c>
    </row>
    <row r="32" spans="1:9" ht="15" hidden="1" customHeight="1">
      <c r="A32" s="1" t="s">
        <v>68</v>
      </c>
      <c r="B32" s="1">
        <f>B29-B30-B31</f>
        <v>25.784093959731557</v>
      </c>
      <c r="C32" s="1">
        <f t="shared" ref="C32:I32" si="8">C29-C30-C31</f>
        <v>30.425230872483215</v>
      </c>
      <c r="D32" s="1">
        <f t="shared" si="8"/>
        <v>35.901772429530212</v>
      </c>
      <c r="E32" s="1">
        <f t="shared" si="8"/>
        <v>42.364091466845636</v>
      </c>
      <c r="F32" s="1">
        <f t="shared" si="8"/>
        <v>49.989627930877845</v>
      </c>
      <c r="G32" s="1">
        <f t="shared" si="8"/>
        <v>54.988590723965629</v>
      </c>
      <c r="H32" s="1">
        <f t="shared" si="8"/>
        <v>33.705188861514728</v>
      </c>
      <c r="I32" s="1">
        <f t="shared" si="8"/>
        <v>35.053396415975342</v>
      </c>
    </row>
    <row r="33" spans="1:11" ht="15" hidden="1" customHeight="1">
      <c r="A33" s="1" t="s">
        <v>69</v>
      </c>
      <c r="B33" s="1">
        <f t="shared" ref="B33:I33" si="9">B23*B28</f>
        <v>94.372067114093966</v>
      </c>
      <c r="C33" s="1">
        <f t="shared" si="9"/>
        <v>111.35903919463087</v>
      </c>
      <c r="D33" s="1">
        <f t="shared" si="9"/>
        <v>131.40366624966441</v>
      </c>
      <c r="E33" s="1">
        <f t="shared" si="9"/>
        <v>155.05632617460401</v>
      </c>
      <c r="F33" s="1">
        <f t="shared" si="9"/>
        <v>182.96646488603272</v>
      </c>
      <c r="G33" s="1">
        <f t="shared" si="9"/>
        <v>201.26311137463603</v>
      </c>
      <c r="H33" s="1">
        <f t="shared" si="9"/>
        <v>167.07905918795518</v>
      </c>
      <c r="I33" s="1">
        <f t="shared" si="9"/>
        <v>173.76222155547339</v>
      </c>
    </row>
    <row r="34" spans="1:11" ht="15" hidden="1" customHeight="1">
      <c r="A34" s="1" t="s">
        <v>70</v>
      </c>
      <c r="B34" s="1">
        <f t="shared" ref="B34:I34" si="10">B24*B28</f>
        <v>49.915787919463085</v>
      </c>
      <c r="C34" s="1">
        <f t="shared" si="10"/>
        <v>58.900629744966437</v>
      </c>
      <c r="D34" s="1">
        <f t="shared" si="10"/>
        <v>69.502743099060396</v>
      </c>
      <c r="E34" s="1">
        <f t="shared" si="10"/>
        <v>82.013236856891268</v>
      </c>
      <c r="F34" s="1">
        <f t="shared" si="10"/>
        <v>96.775619491131692</v>
      </c>
      <c r="G34" s="1">
        <f t="shared" si="10"/>
        <v>106.45318144024486</v>
      </c>
      <c r="H34" s="1">
        <f t="shared" si="10"/>
        <v>110.71130869785465</v>
      </c>
      <c r="I34" s="1">
        <f t="shared" si="10"/>
        <v>115.13976104576885</v>
      </c>
    </row>
    <row r="35" spans="1:11" ht="15" hidden="1" customHeight="1">
      <c r="A35" s="1" t="s">
        <v>71</v>
      </c>
      <c r="B35" s="1">
        <f>B33-B34</f>
        <v>44.456279194630881</v>
      </c>
      <c r="C35" s="1">
        <f t="shared" ref="C35:I35" si="11">C33-C34</f>
        <v>52.45840944966443</v>
      </c>
      <c r="D35" s="1">
        <f t="shared" si="11"/>
        <v>61.900923150604015</v>
      </c>
      <c r="E35" s="1">
        <f t="shared" si="11"/>
        <v>73.043089317712742</v>
      </c>
      <c r="F35" s="1">
        <f t="shared" si="11"/>
        <v>86.190845394901032</v>
      </c>
      <c r="G35" s="1">
        <f t="shared" si="11"/>
        <v>94.809929934391164</v>
      </c>
      <c r="H35" s="1">
        <f t="shared" si="11"/>
        <v>56.367750490100534</v>
      </c>
      <c r="I35" s="1">
        <f t="shared" si="11"/>
        <v>58.622460509704538</v>
      </c>
    </row>
    <row r="36" spans="1:11" ht="15" hidden="1" customHeight="1">
      <c r="A36" s="1" t="s">
        <v>72</v>
      </c>
      <c r="B36" s="1">
        <f t="shared" ref="B36:I36" si="12">B25*B28</f>
        <v>36.211892617449664</v>
      </c>
      <c r="C36" s="1">
        <f t="shared" si="12"/>
        <v>42.730033288590604</v>
      </c>
      <c r="D36" s="1">
        <f t="shared" si="12"/>
        <v>50.421439280536909</v>
      </c>
      <c r="E36" s="1">
        <f t="shared" si="12"/>
        <v>59.49729835103355</v>
      </c>
      <c r="F36" s="1">
        <f t="shared" si="12"/>
        <v>70.206812054219583</v>
      </c>
      <c r="G36" s="1">
        <f t="shared" si="12"/>
        <v>77.227493259641548</v>
      </c>
      <c r="H36" s="1">
        <f t="shared" si="12"/>
        <v>80.316592990027203</v>
      </c>
      <c r="I36" s="1">
        <f t="shared" si="12"/>
        <v>83.529256709628299</v>
      </c>
    </row>
    <row r="37" spans="1:11" ht="15" hidden="1" customHeight="1">
      <c r="A37" s="1" t="s">
        <v>73</v>
      </c>
      <c r="B37" s="1">
        <f t="shared" ref="B37:I37" si="13">B26*B28</f>
        <v>17.010000000000002</v>
      </c>
      <c r="C37" s="1">
        <f t="shared" si="13"/>
        <v>20.0718</v>
      </c>
      <c r="D37" s="1">
        <f t="shared" si="13"/>
        <v>23.684723999999999</v>
      </c>
      <c r="E37" s="1">
        <f t="shared" si="13"/>
        <v>27.947974319999997</v>
      </c>
      <c r="F37" s="1">
        <f t="shared" si="13"/>
        <v>32.9786096976</v>
      </c>
      <c r="G37" s="1">
        <f t="shared" si="13"/>
        <v>36.276470667359995</v>
      </c>
      <c r="H37" s="1">
        <f t="shared" si="13"/>
        <v>37.727529494054394</v>
      </c>
      <c r="I37" s="1">
        <f t="shared" si="13"/>
        <v>39.236630673816578</v>
      </c>
    </row>
    <row r="38" spans="1:11" ht="15" hidden="1" customHeight="1">
      <c r="A38" s="1" t="s">
        <v>74</v>
      </c>
      <c r="B38" s="1">
        <f>B36+B33</f>
        <v>130.58395973154364</v>
      </c>
      <c r="C38" s="1">
        <f t="shared" ref="C38:I39" si="14">C36+C33</f>
        <v>154.08907248322146</v>
      </c>
      <c r="D38" s="1">
        <f t="shared" si="14"/>
        <v>181.82510553020131</v>
      </c>
      <c r="E38" s="1">
        <f t="shared" si="14"/>
        <v>214.55362452563756</v>
      </c>
      <c r="F38" s="1">
        <f t="shared" si="14"/>
        <v>253.17327694025232</v>
      </c>
      <c r="G38" s="1">
        <f t="shared" si="14"/>
        <v>278.49060463427759</v>
      </c>
      <c r="H38" s="1">
        <f t="shared" si="14"/>
        <v>247.39565217798238</v>
      </c>
      <c r="I38" s="1">
        <f t="shared" si="14"/>
        <v>257.29147826510166</v>
      </c>
    </row>
    <row r="39" spans="1:11" ht="15" hidden="1" customHeight="1">
      <c r="A39" s="1" t="s">
        <v>75</v>
      </c>
      <c r="B39" s="1">
        <f>B37+B34</f>
        <v>66.92578791946309</v>
      </c>
      <c r="C39" s="1">
        <f t="shared" si="14"/>
        <v>78.972429744966433</v>
      </c>
      <c r="D39" s="1">
        <f t="shared" si="14"/>
        <v>93.187467099060399</v>
      </c>
      <c r="E39" s="1">
        <f t="shared" si="14"/>
        <v>109.96121117689127</v>
      </c>
      <c r="F39" s="1">
        <f t="shared" si="14"/>
        <v>129.7542291887317</v>
      </c>
      <c r="G39" s="1">
        <f t="shared" si="14"/>
        <v>142.72965210760486</v>
      </c>
      <c r="H39" s="1">
        <f t="shared" si="14"/>
        <v>148.43883819190904</v>
      </c>
      <c r="I39" s="1">
        <f t="shared" si="14"/>
        <v>154.37639171958543</v>
      </c>
    </row>
    <row r="40" spans="1:11" ht="15" hidden="1" customHeight="1">
      <c r="A40" s="1" t="s">
        <v>76</v>
      </c>
      <c r="B40" s="1">
        <f>B38-B39</f>
        <v>63.658171812080553</v>
      </c>
      <c r="C40" s="1">
        <f t="shared" ref="C40:I40" si="15">C38-C39</f>
        <v>75.116642738255024</v>
      </c>
      <c r="D40" s="1">
        <f t="shared" si="15"/>
        <v>88.637638431140914</v>
      </c>
      <c r="E40" s="1">
        <f t="shared" si="15"/>
        <v>104.59241334874629</v>
      </c>
      <c r="F40" s="1">
        <f t="shared" si="15"/>
        <v>123.41904775152062</v>
      </c>
      <c r="G40" s="1">
        <f t="shared" si="15"/>
        <v>135.76095252667272</v>
      </c>
      <c r="H40" s="1">
        <f t="shared" si="15"/>
        <v>98.956813986073342</v>
      </c>
      <c r="I40" s="1">
        <f t="shared" si="15"/>
        <v>102.91508654551623</v>
      </c>
    </row>
    <row r="41" spans="1:11" ht="15" hidden="1" customHeight="1">
      <c r="A41" s="1" t="s">
        <v>77</v>
      </c>
      <c r="C41" s="1">
        <f>C32-C35+B35-C36-B36+C37-B37</f>
        <v>-53.457025288590614</v>
      </c>
    </row>
    <row r="42" spans="1:11" ht="9" customHeight="1">
      <c r="A42" s="2"/>
      <c r="B42" s="21"/>
      <c r="C42" s="3"/>
      <c r="D42" s="3"/>
      <c r="E42" s="3"/>
      <c r="F42" s="3"/>
      <c r="G42" s="3"/>
      <c r="H42" s="3"/>
      <c r="I42" s="3"/>
      <c r="J42" s="3"/>
      <c r="K42" s="3"/>
    </row>
    <row r="43" spans="1:11" ht="13.5" customHeight="1">
      <c r="A43" s="1" t="s">
        <v>82</v>
      </c>
      <c r="C43" s="3"/>
      <c r="D43" s="3"/>
      <c r="E43" s="3"/>
      <c r="F43" s="3"/>
      <c r="G43" s="3"/>
      <c r="H43" s="3"/>
      <c r="I43" s="3"/>
      <c r="J43" s="3"/>
      <c r="K43" s="3"/>
    </row>
    <row r="44" spans="1:11" ht="13.5" customHeight="1">
      <c r="C44" s="3"/>
      <c r="D44" s="3"/>
      <c r="E44" s="3"/>
      <c r="F44" s="3"/>
      <c r="G44" s="3"/>
      <c r="H44" s="3"/>
      <c r="I44" s="3"/>
      <c r="J44" s="3"/>
      <c r="K44" s="3"/>
    </row>
    <row r="45" spans="1:11" ht="15.75" thickBot="1">
      <c r="C45" s="3"/>
      <c r="D45" s="3"/>
      <c r="E45" s="3"/>
      <c r="F45" s="3"/>
      <c r="G45" s="3"/>
      <c r="H45" s="3"/>
      <c r="I45" s="3"/>
      <c r="J45" s="3"/>
      <c r="K45" s="3"/>
    </row>
    <row r="46" spans="1:11" ht="15.75" thickBot="1">
      <c r="B46" s="54" t="s">
        <v>84</v>
      </c>
      <c r="C46" s="55">
        <f>'[1]Proforma '!D61</f>
        <v>43.585170842787065</v>
      </c>
      <c r="D46" s="3"/>
      <c r="E46" s="3"/>
      <c r="F46" s="3"/>
      <c r="G46" s="3"/>
      <c r="H46" s="3"/>
      <c r="I46" s="3"/>
      <c r="J46" s="3"/>
      <c r="K46" s="3"/>
    </row>
    <row r="47" spans="1:11" ht="13.5" customHeight="1" thickBot="1">
      <c r="B47" s="52" t="s">
        <v>85</v>
      </c>
      <c r="C47" s="53">
        <f>C46*'[1]Proforma '!D59</f>
        <v>588.3998063776254</v>
      </c>
      <c r="D47" s="3"/>
      <c r="E47" s="3"/>
      <c r="F47" s="3"/>
      <c r="G47" s="3"/>
      <c r="H47" s="3"/>
      <c r="I47" s="3"/>
      <c r="J47" s="3"/>
      <c r="K47" s="3"/>
    </row>
    <row r="48" spans="1:11">
      <c r="C48" s="3"/>
      <c r="D48" s="3"/>
      <c r="E48" s="3"/>
      <c r="F48" s="3"/>
      <c r="G48" s="3"/>
      <c r="H48" s="3"/>
      <c r="I48" s="3"/>
      <c r="J48" s="3"/>
      <c r="K48" s="3"/>
    </row>
    <row r="49" spans="3:11">
      <c r="C49" s="3"/>
      <c r="D49" s="3"/>
      <c r="E49" s="3"/>
      <c r="F49" s="3"/>
      <c r="G49" s="3"/>
      <c r="H49" s="3"/>
      <c r="I49" s="3"/>
      <c r="J49" s="3"/>
      <c r="K49" s="3"/>
    </row>
    <row r="50" spans="3:11">
      <c r="C50" s="3"/>
      <c r="D50" s="3"/>
      <c r="E50" s="3"/>
      <c r="F50" s="3"/>
      <c r="G50" s="3"/>
      <c r="H50" s="3"/>
      <c r="I50" s="3"/>
      <c r="J50" s="3"/>
      <c r="K50" s="3"/>
    </row>
    <row r="51" spans="3:11">
      <c r="C51" s="3"/>
      <c r="D51" s="7"/>
      <c r="E51" s="3"/>
      <c r="F51" s="3"/>
      <c r="G51" s="3"/>
      <c r="H51" s="3"/>
      <c r="I51" s="3"/>
      <c r="J51" s="3"/>
      <c r="K51" s="3"/>
    </row>
    <row r="52" spans="3:11">
      <c r="C52" s="3"/>
      <c r="D52" s="3"/>
      <c r="E52" s="3"/>
      <c r="F52" s="3"/>
      <c r="G52" s="3"/>
      <c r="H52" s="3"/>
      <c r="I52" s="3"/>
      <c r="J52" s="3"/>
      <c r="K52" s="3"/>
    </row>
    <row r="53" spans="3:11">
      <c r="C53" s="3"/>
      <c r="D53" s="3"/>
      <c r="E53" s="3"/>
      <c r="F53" s="3"/>
      <c r="G53" s="3"/>
      <c r="H53" s="3"/>
      <c r="I53" s="3"/>
      <c r="J53" s="3"/>
      <c r="K53" s="3"/>
    </row>
    <row r="54" spans="3:11">
      <c r="C54" s="3"/>
      <c r="D54" s="7"/>
      <c r="E54" s="3"/>
      <c r="F54" s="3"/>
      <c r="G54" s="3"/>
      <c r="H54" s="3"/>
      <c r="I54" s="3"/>
      <c r="J54" s="3"/>
      <c r="K54" s="3"/>
    </row>
    <row r="55" spans="3:11">
      <c r="C55" s="3"/>
      <c r="D55" s="3"/>
      <c r="E55" s="3"/>
      <c r="F55" s="3"/>
      <c r="G55" s="3"/>
      <c r="H55" s="3"/>
      <c r="I55" s="3"/>
      <c r="J55" s="3"/>
      <c r="K55" s="3"/>
    </row>
    <row r="56" spans="3:11">
      <c r="C56" s="3"/>
      <c r="D56" s="3"/>
      <c r="E56" s="3"/>
      <c r="F56" s="3"/>
      <c r="G56" s="3"/>
      <c r="H56" s="3"/>
      <c r="I56" s="3"/>
      <c r="J56" s="3"/>
      <c r="K56" s="3"/>
    </row>
  </sheetData>
  <mergeCells count="3">
    <mergeCell ref="D1:I1"/>
    <mergeCell ref="C15:G15"/>
    <mergeCell ref="H15:I15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K62"/>
  <sheetViews>
    <sheetView showGridLines="0" tabSelected="1" workbookViewId="0">
      <selection activeCell="K26" sqref="K26"/>
    </sheetView>
  </sheetViews>
  <sheetFormatPr defaultRowHeight="15"/>
  <cols>
    <col min="1" max="1" width="41.5703125" style="1" customWidth="1"/>
    <col min="2" max="3" width="0" style="1" hidden="1" customWidth="1"/>
    <col min="4" max="10" width="9.140625" style="5"/>
    <col min="11" max="256" width="9.140625" style="1"/>
    <col min="257" max="257" width="41.5703125" style="1" customWidth="1"/>
    <col min="258" max="259" width="0" style="1" hidden="1" customWidth="1"/>
    <col min="260" max="512" width="9.140625" style="1"/>
    <col min="513" max="513" width="41.5703125" style="1" customWidth="1"/>
    <col min="514" max="515" width="0" style="1" hidden="1" customWidth="1"/>
    <col min="516" max="768" width="9.140625" style="1"/>
    <col min="769" max="769" width="41.5703125" style="1" customWidth="1"/>
    <col min="770" max="771" width="0" style="1" hidden="1" customWidth="1"/>
    <col min="772" max="1024" width="9.140625" style="1"/>
    <col min="1025" max="1025" width="41.5703125" style="1" customWidth="1"/>
    <col min="1026" max="1027" width="0" style="1" hidden="1" customWidth="1"/>
    <col min="1028" max="1280" width="9.140625" style="1"/>
    <col min="1281" max="1281" width="41.5703125" style="1" customWidth="1"/>
    <col min="1282" max="1283" width="0" style="1" hidden="1" customWidth="1"/>
    <col min="1284" max="1536" width="9.140625" style="1"/>
    <col min="1537" max="1537" width="41.5703125" style="1" customWidth="1"/>
    <col min="1538" max="1539" width="0" style="1" hidden="1" customWidth="1"/>
    <col min="1540" max="1792" width="9.140625" style="1"/>
    <col min="1793" max="1793" width="41.5703125" style="1" customWidth="1"/>
    <col min="1794" max="1795" width="0" style="1" hidden="1" customWidth="1"/>
    <col min="1796" max="2048" width="9.140625" style="1"/>
    <col min="2049" max="2049" width="41.5703125" style="1" customWidth="1"/>
    <col min="2050" max="2051" width="0" style="1" hidden="1" customWidth="1"/>
    <col min="2052" max="2304" width="9.140625" style="1"/>
    <col min="2305" max="2305" width="41.5703125" style="1" customWidth="1"/>
    <col min="2306" max="2307" width="0" style="1" hidden="1" customWidth="1"/>
    <col min="2308" max="2560" width="9.140625" style="1"/>
    <col min="2561" max="2561" width="41.5703125" style="1" customWidth="1"/>
    <col min="2562" max="2563" width="0" style="1" hidden="1" customWidth="1"/>
    <col min="2564" max="2816" width="9.140625" style="1"/>
    <col min="2817" max="2817" width="41.5703125" style="1" customWidth="1"/>
    <col min="2818" max="2819" width="0" style="1" hidden="1" customWidth="1"/>
    <col min="2820" max="3072" width="9.140625" style="1"/>
    <col min="3073" max="3073" width="41.5703125" style="1" customWidth="1"/>
    <col min="3074" max="3075" width="0" style="1" hidden="1" customWidth="1"/>
    <col min="3076" max="3328" width="9.140625" style="1"/>
    <col min="3329" max="3329" width="41.5703125" style="1" customWidth="1"/>
    <col min="3330" max="3331" width="0" style="1" hidden="1" customWidth="1"/>
    <col min="3332" max="3584" width="9.140625" style="1"/>
    <col min="3585" max="3585" width="41.5703125" style="1" customWidth="1"/>
    <col min="3586" max="3587" width="0" style="1" hidden="1" customWidth="1"/>
    <col min="3588" max="3840" width="9.140625" style="1"/>
    <col min="3841" max="3841" width="41.5703125" style="1" customWidth="1"/>
    <col min="3842" max="3843" width="0" style="1" hidden="1" customWidth="1"/>
    <col min="3844" max="4096" width="9.140625" style="1"/>
    <col min="4097" max="4097" width="41.5703125" style="1" customWidth="1"/>
    <col min="4098" max="4099" width="0" style="1" hidden="1" customWidth="1"/>
    <col min="4100" max="4352" width="9.140625" style="1"/>
    <col min="4353" max="4353" width="41.5703125" style="1" customWidth="1"/>
    <col min="4354" max="4355" width="0" style="1" hidden="1" customWidth="1"/>
    <col min="4356" max="4608" width="9.140625" style="1"/>
    <col min="4609" max="4609" width="41.5703125" style="1" customWidth="1"/>
    <col min="4610" max="4611" width="0" style="1" hidden="1" customWidth="1"/>
    <col min="4612" max="4864" width="9.140625" style="1"/>
    <col min="4865" max="4865" width="41.5703125" style="1" customWidth="1"/>
    <col min="4866" max="4867" width="0" style="1" hidden="1" customWidth="1"/>
    <col min="4868" max="5120" width="9.140625" style="1"/>
    <col min="5121" max="5121" width="41.5703125" style="1" customWidth="1"/>
    <col min="5122" max="5123" width="0" style="1" hidden="1" customWidth="1"/>
    <col min="5124" max="5376" width="9.140625" style="1"/>
    <col min="5377" max="5377" width="41.5703125" style="1" customWidth="1"/>
    <col min="5378" max="5379" width="0" style="1" hidden="1" customWidth="1"/>
    <col min="5380" max="5632" width="9.140625" style="1"/>
    <col min="5633" max="5633" width="41.5703125" style="1" customWidth="1"/>
    <col min="5634" max="5635" width="0" style="1" hidden="1" customWidth="1"/>
    <col min="5636" max="5888" width="9.140625" style="1"/>
    <col min="5889" max="5889" width="41.5703125" style="1" customWidth="1"/>
    <col min="5890" max="5891" width="0" style="1" hidden="1" customWidth="1"/>
    <col min="5892" max="6144" width="9.140625" style="1"/>
    <col min="6145" max="6145" width="41.5703125" style="1" customWidth="1"/>
    <col min="6146" max="6147" width="0" style="1" hidden="1" customWidth="1"/>
    <col min="6148" max="6400" width="9.140625" style="1"/>
    <col min="6401" max="6401" width="41.5703125" style="1" customWidth="1"/>
    <col min="6402" max="6403" width="0" style="1" hidden="1" customWidth="1"/>
    <col min="6404" max="6656" width="9.140625" style="1"/>
    <col min="6657" max="6657" width="41.5703125" style="1" customWidth="1"/>
    <col min="6658" max="6659" width="0" style="1" hidden="1" customWidth="1"/>
    <col min="6660" max="6912" width="9.140625" style="1"/>
    <col min="6913" max="6913" width="41.5703125" style="1" customWidth="1"/>
    <col min="6914" max="6915" width="0" style="1" hidden="1" customWidth="1"/>
    <col min="6916" max="7168" width="9.140625" style="1"/>
    <col min="7169" max="7169" width="41.5703125" style="1" customWidth="1"/>
    <col min="7170" max="7171" width="0" style="1" hidden="1" customWidth="1"/>
    <col min="7172" max="7424" width="9.140625" style="1"/>
    <col min="7425" max="7425" width="41.5703125" style="1" customWidth="1"/>
    <col min="7426" max="7427" width="0" style="1" hidden="1" customWidth="1"/>
    <col min="7428" max="7680" width="9.140625" style="1"/>
    <col min="7681" max="7681" width="41.5703125" style="1" customWidth="1"/>
    <col min="7682" max="7683" width="0" style="1" hidden="1" customWidth="1"/>
    <col min="7684" max="7936" width="9.140625" style="1"/>
    <col min="7937" max="7937" width="41.5703125" style="1" customWidth="1"/>
    <col min="7938" max="7939" width="0" style="1" hidden="1" customWidth="1"/>
    <col min="7940" max="8192" width="9.140625" style="1"/>
    <col min="8193" max="8193" width="41.5703125" style="1" customWidth="1"/>
    <col min="8194" max="8195" width="0" style="1" hidden="1" customWidth="1"/>
    <col min="8196" max="8448" width="9.140625" style="1"/>
    <col min="8449" max="8449" width="41.5703125" style="1" customWidth="1"/>
    <col min="8450" max="8451" width="0" style="1" hidden="1" customWidth="1"/>
    <col min="8452" max="8704" width="9.140625" style="1"/>
    <col min="8705" max="8705" width="41.5703125" style="1" customWidth="1"/>
    <col min="8706" max="8707" width="0" style="1" hidden="1" customWidth="1"/>
    <col min="8708" max="8960" width="9.140625" style="1"/>
    <col min="8961" max="8961" width="41.5703125" style="1" customWidth="1"/>
    <col min="8962" max="8963" width="0" style="1" hidden="1" customWidth="1"/>
    <col min="8964" max="9216" width="9.140625" style="1"/>
    <col min="9217" max="9217" width="41.5703125" style="1" customWidth="1"/>
    <col min="9218" max="9219" width="0" style="1" hidden="1" customWidth="1"/>
    <col min="9220" max="9472" width="9.140625" style="1"/>
    <col min="9473" max="9473" width="41.5703125" style="1" customWidth="1"/>
    <col min="9474" max="9475" width="0" style="1" hidden="1" customWidth="1"/>
    <col min="9476" max="9728" width="9.140625" style="1"/>
    <col min="9729" max="9729" width="41.5703125" style="1" customWidth="1"/>
    <col min="9730" max="9731" width="0" style="1" hidden="1" customWidth="1"/>
    <col min="9732" max="9984" width="9.140625" style="1"/>
    <col min="9985" max="9985" width="41.5703125" style="1" customWidth="1"/>
    <col min="9986" max="9987" width="0" style="1" hidden="1" customWidth="1"/>
    <col min="9988" max="10240" width="9.140625" style="1"/>
    <col min="10241" max="10241" width="41.5703125" style="1" customWidth="1"/>
    <col min="10242" max="10243" width="0" style="1" hidden="1" customWidth="1"/>
    <col min="10244" max="10496" width="9.140625" style="1"/>
    <col min="10497" max="10497" width="41.5703125" style="1" customWidth="1"/>
    <col min="10498" max="10499" width="0" style="1" hidden="1" customWidth="1"/>
    <col min="10500" max="10752" width="9.140625" style="1"/>
    <col min="10753" max="10753" width="41.5703125" style="1" customWidth="1"/>
    <col min="10754" max="10755" width="0" style="1" hidden="1" customWidth="1"/>
    <col min="10756" max="11008" width="9.140625" style="1"/>
    <col min="11009" max="11009" width="41.5703125" style="1" customWidth="1"/>
    <col min="11010" max="11011" width="0" style="1" hidden="1" customWidth="1"/>
    <col min="11012" max="11264" width="9.140625" style="1"/>
    <col min="11265" max="11265" width="41.5703125" style="1" customWidth="1"/>
    <col min="11266" max="11267" width="0" style="1" hidden="1" customWidth="1"/>
    <col min="11268" max="11520" width="9.140625" style="1"/>
    <col min="11521" max="11521" width="41.5703125" style="1" customWidth="1"/>
    <col min="11522" max="11523" width="0" style="1" hidden="1" customWidth="1"/>
    <col min="11524" max="11776" width="9.140625" style="1"/>
    <col min="11777" max="11777" width="41.5703125" style="1" customWidth="1"/>
    <col min="11778" max="11779" width="0" style="1" hidden="1" customWidth="1"/>
    <col min="11780" max="12032" width="9.140625" style="1"/>
    <col min="12033" max="12033" width="41.5703125" style="1" customWidth="1"/>
    <col min="12034" max="12035" width="0" style="1" hidden="1" customWidth="1"/>
    <col min="12036" max="12288" width="9.140625" style="1"/>
    <col min="12289" max="12289" width="41.5703125" style="1" customWidth="1"/>
    <col min="12290" max="12291" width="0" style="1" hidden="1" customWidth="1"/>
    <col min="12292" max="12544" width="9.140625" style="1"/>
    <col min="12545" max="12545" width="41.5703125" style="1" customWidth="1"/>
    <col min="12546" max="12547" width="0" style="1" hidden="1" customWidth="1"/>
    <col min="12548" max="12800" width="9.140625" style="1"/>
    <col min="12801" max="12801" width="41.5703125" style="1" customWidth="1"/>
    <col min="12802" max="12803" width="0" style="1" hidden="1" customWidth="1"/>
    <col min="12804" max="13056" width="9.140625" style="1"/>
    <col min="13057" max="13057" width="41.5703125" style="1" customWidth="1"/>
    <col min="13058" max="13059" width="0" style="1" hidden="1" customWidth="1"/>
    <col min="13060" max="13312" width="9.140625" style="1"/>
    <col min="13313" max="13313" width="41.5703125" style="1" customWidth="1"/>
    <col min="13314" max="13315" width="0" style="1" hidden="1" customWidth="1"/>
    <col min="13316" max="13568" width="9.140625" style="1"/>
    <col min="13569" max="13569" width="41.5703125" style="1" customWidth="1"/>
    <col min="13570" max="13571" width="0" style="1" hidden="1" customWidth="1"/>
    <col min="13572" max="13824" width="9.140625" style="1"/>
    <col min="13825" max="13825" width="41.5703125" style="1" customWidth="1"/>
    <col min="13826" max="13827" width="0" style="1" hidden="1" customWidth="1"/>
    <col min="13828" max="14080" width="9.140625" style="1"/>
    <col min="14081" max="14081" width="41.5703125" style="1" customWidth="1"/>
    <col min="14082" max="14083" width="0" style="1" hidden="1" customWidth="1"/>
    <col min="14084" max="14336" width="9.140625" style="1"/>
    <col min="14337" max="14337" width="41.5703125" style="1" customWidth="1"/>
    <col min="14338" max="14339" width="0" style="1" hidden="1" customWidth="1"/>
    <col min="14340" max="14592" width="9.140625" style="1"/>
    <col min="14593" max="14593" width="41.5703125" style="1" customWidth="1"/>
    <col min="14594" max="14595" width="0" style="1" hidden="1" customWidth="1"/>
    <col min="14596" max="14848" width="9.140625" style="1"/>
    <col min="14849" max="14849" width="41.5703125" style="1" customWidth="1"/>
    <col min="14850" max="14851" width="0" style="1" hidden="1" customWidth="1"/>
    <col min="14852" max="15104" width="9.140625" style="1"/>
    <col min="15105" max="15105" width="41.5703125" style="1" customWidth="1"/>
    <col min="15106" max="15107" width="0" style="1" hidden="1" customWidth="1"/>
    <col min="15108" max="15360" width="9.140625" style="1"/>
    <col min="15361" max="15361" width="41.5703125" style="1" customWidth="1"/>
    <col min="15362" max="15363" width="0" style="1" hidden="1" customWidth="1"/>
    <col min="15364" max="15616" width="9.140625" style="1"/>
    <col min="15617" max="15617" width="41.5703125" style="1" customWidth="1"/>
    <col min="15618" max="15619" width="0" style="1" hidden="1" customWidth="1"/>
    <col min="15620" max="15872" width="9.140625" style="1"/>
    <col min="15873" max="15873" width="41.5703125" style="1" customWidth="1"/>
    <col min="15874" max="15875" width="0" style="1" hidden="1" customWidth="1"/>
    <col min="15876" max="16128" width="9.140625" style="1"/>
    <col min="16129" max="16129" width="41.5703125" style="1" customWidth="1"/>
    <col min="16130" max="16131" width="0" style="1" hidden="1" customWidth="1"/>
    <col min="16132" max="16384" width="9.140625" style="1"/>
  </cols>
  <sheetData>
    <row r="1" spans="1:11">
      <c r="A1" s="4"/>
      <c r="B1" s="1" t="s">
        <v>12</v>
      </c>
    </row>
    <row r="2" spans="1:11" ht="12.75" customHeight="1" thickBot="1">
      <c r="D2" s="58" t="s">
        <v>9</v>
      </c>
      <c r="E2" s="58"/>
      <c r="F2" s="58"/>
      <c r="G2" s="58"/>
      <c r="H2" s="58"/>
      <c r="I2" s="58" t="s">
        <v>13</v>
      </c>
      <c r="J2" s="58"/>
    </row>
    <row r="3" spans="1:11" ht="13.5" hidden="1" customHeight="1">
      <c r="A3" s="4" t="s">
        <v>14</v>
      </c>
      <c r="B3" s="1">
        <v>2003</v>
      </c>
      <c r="C3" s="1">
        <v>2004</v>
      </c>
      <c r="D3" s="4">
        <f>D12</f>
        <v>2005</v>
      </c>
      <c r="E3" s="4">
        <f t="shared" ref="E3:J3" si="0">E12</f>
        <v>2006</v>
      </c>
      <c r="F3" s="4">
        <f t="shared" si="0"/>
        <v>2007</v>
      </c>
      <c r="G3" s="4">
        <f t="shared" si="0"/>
        <v>2008</v>
      </c>
      <c r="H3" s="4">
        <f t="shared" si="0"/>
        <v>2009</v>
      </c>
      <c r="I3" s="4">
        <f t="shared" si="0"/>
        <v>2010</v>
      </c>
      <c r="J3" s="4">
        <f t="shared" si="0"/>
        <v>2011</v>
      </c>
    </row>
    <row r="4" spans="1:11" ht="13.5" hidden="1" customHeight="1">
      <c r="A4" s="1" t="s">
        <v>15</v>
      </c>
      <c r="B4" s="1">
        <v>37.67</v>
      </c>
      <c r="C4" s="1">
        <v>34.22</v>
      </c>
      <c r="D4" s="25">
        <v>28.58</v>
      </c>
      <c r="E4" s="25">
        <v>38.221932660000007</v>
      </c>
      <c r="F4" s="25">
        <v>47.01297717180001</v>
      </c>
      <c r="G4" s="25">
        <v>57.825961921314004</v>
      </c>
      <c r="H4" s="25">
        <v>71.125933163216231</v>
      </c>
      <c r="I4" s="25">
        <v>73.970970489744872</v>
      </c>
      <c r="J4" s="25">
        <v>76.929809309334672</v>
      </c>
    </row>
    <row r="5" spans="1:11" ht="13.5" hidden="1" customHeight="1">
      <c r="A5" s="1" t="s">
        <v>16</v>
      </c>
      <c r="B5" s="1">
        <v>30.39</v>
      </c>
      <c r="C5" s="1">
        <v>33.549999999999997</v>
      </c>
      <c r="D5" s="25">
        <v>175.60116166666666</v>
      </c>
      <c r="E5" s="25">
        <v>184.36461635999999</v>
      </c>
      <c r="F5" s="25">
        <v>226.76847812279999</v>
      </c>
      <c r="G5" s="25">
        <v>278.925228091044</v>
      </c>
      <c r="H5" s="25">
        <v>343.07803055198411</v>
      </c>
      <c r="I5" s="25">
        <v>356.8011517740635</v>
      </c>
      <c r="J5" s="25">
        <v>371.07319784502602</v>
      </c>
    </row>
    <row r="6" spans="1:11" ht="13.5" hidden="1" customHeight="1">
      <c r="A6" s="1" t="s">
        <v>17</v>
      </c>
      <c r="B6" s="1">
        <v>68.06</v>
      </c>
      <c r="C6" s="1">
        <v>67.77</v>
      </c>
      <c r="D6" s="25">
        <v>204.18116166666667</v>
      </c>
      <c r="E6" s="25">
        <v>222.58654902000001</v>
      </c>
      <c r="F6" s="25">
        <v>273.78145529459999</v>
      </c>
      <c r="G6" s="25">
        <v>336.75119001235799</v>
      </c>
      <c r="H6" s="25">
        <v>414.20396371520036</v>
      </c>
      <c r="I6" s="25">
        <v>430.77212226380834</v>
      </c>
      <c r="J6" s="25">
        <v>448.00300715436072</v>
      </c>
    </row>
    <row r="7" spans="1:11" ht="13.5" hidden="1" customHeight="1">
      <c r="D7" s="25"/>
      <c r="E7" s="25"/>
      <c r="F7" s="25"/>
      <c r="G7" s="25"/>
      <c r="H7" s="25"/>
      <c r="I7" s="25"/>
      <c r="J7" s="25"/>
    </row>
    <row r="8" spans="1:11" ht="13.5" hidden="1" customHeight="1">
      <c r="A8" s="1" t="s">
        <v>18</v>
      </c>
      <c r="B8" s="1">
        <v>15.8</v>
      </c>
      <c r="C8" s="1">
        <v>2.13</v>
      </c>
      <c r="D8" s="25">
        <v>137.24975000000001</v>
      </c>
      <c r="E8" s="25">
        <v>149.62177684262406</v>
      </c>
      <c r="F8" s="25">
        <v>184.03478551642758</v>
      </c>
      <c r="G8" s="25">
        <v>226.36278618520592</v>
      </c>
      <c r="H8" s="25">
        <v>278.42622700780328</v>
      </c>
      <c r="I8" s="25">
        <v>289.5632760881154</v>
      </c>
      <c r="J8" s="25">
        <v>301.14580713164003</v>
      </c>
    </row>
    <row r="9" spans="1:11" ht="13.5" hidden="1" customHeight="1">
      <c r="A9" s="1" t="s">
        <v>19</v>
      </c>
      <c r="B9" s="1">
        <v>0</v>
      </c>
      <c r="C9" s="1">
        <v>0</v>
      </c>
      <c r="D9" s="25">
        <v>0</v>
      </c>
      <c r="E9" s="25">
        <v>0</v>
      </c>
      <c r="F9" s="25">
        <v>0</v>
      </c>
      <c r="G9" s="25">
        <v>0</v>
      </c>
      <c r="H9" s="25">
        <v>0</v>
      </c>
      <c r="I9" s="25">
        <v>0</v>
      </c>
      <c r="J9" s="25">
        <v>0</v>
      </c>
    </row>
    <row r="10" spans="1:11" ht="13.5" hidden="1" customHeight="1">
      <c r="A10" s="1" t="s">
        <v>20</v>
      </c>
      <c r="B10" s="1">
        <v>52.25</v>
      </c>
      <c r="C10" s="1">
        <v>65.650000000000006</v>
      </c>
      <c r="D10" s="25">
        <v>66.931411666666662</v>
      </c>
      <c r="E10" s="25">
        <v>72.964772177375934</v>
      </c>
      <c r="F10" s="25">
        <v>89.746669778172404</v>
      </c>
      <c r="G10" s="25">
        <v>110.38840382715206</v>
      </c>
      <c r="H10" s="25">
        <v>135.77773670739703</v>
      </c>
      <c r="I10" s="25">
        <v>141.20884617569291</v>
      </c>
      <c r="J10" s="25">
        <v>146.85720002272063</v>
      </c>
    </row>
    <row r="11" spans="1:11" ht="13.5" hidden="1" customHeight="1">
      <c r="A11" s="1" t="s">
        <v>21</v>
      </c>
      <c r="B11" s="1">
        <v>68.05</v>
      </c>
      <c r="C11" s="1">
        <v>67.78</v>
      </c>
      <c r="D11" s="25">
        <v>204.18116166666667</v>
      </c>
      <c r="E11" s="25">
        <v>222.58654902000001</v>
      </c>
      <c r="F11" s="25">
        <v>273.78145529459999</v>
      </c>
      <c r="G11" s="25">
        <v>336.75119001235799</v>
      </c>
      <c r="H11" s="25">
        <v>414.2039637152003</v>
      </c>
      <c r="I11" s="25">
        <v>430.77212226380834</v>
      </c>
      <c r="J11" s="25">
        <v>448.00300715436066</v>
      </c>
    </row>
    <row r="12" spans="1:11" ht="15.75" customHeight="1" thickBot="1">
      <c r="A12" s="37" t="s">
        <v>22</v>
      </c>
      <c r="B12" s="38"/>
      <c r="C12" s="38"/>
      <c r="D12" s="48">
        <f>C3+1</f>
        <v>2005</v>
      </c>
      <c r="E12" s="49">
        <f t="shared" ref="E12:J12" si="1">D12+1</f>
        <v>2006</v>
      </c>
      <c r="F12" s="49">
        <f t="shared" si="1"/>
        <v>2007</v>
      </c>
      <c r="G12" s="49">
        <f t="shared" si="1"/>
        <v>2008</v>
      </c>
      <c r="H12" s="49">
        <f t="shared" si="1"/>
        <v>2009</v>
      </c>
      <c r="I12" s="49">
        <f t="shared" si="1"/>
        <v>2010</v>
      </c>
      <c r="J12" s="50">
        <f t="shared" si="1"/>
        <v>2011</v>
      </c>
    </row>
    <row r="13" spans="1:11">
      <c r="A13" s="39" t="s">
        <v>23</v>
      </c>
      <c r="B13" s="38">
        <v>136.15</v>
      </c>
      <c r="C13" s="38">
        <f>('[1]Key Assumptions'!B17*'[1]Proforma '!C21/100)</f>
        <v>144.66499999999999</v>
      </c>
      <c r="D13" s="40">
        <f>+(D21/100)*'Exhibit-A'!C23</f>
        <v>170.70469999999997</v>
      </c>
      <c r="E13" s="40">
        <f>+(E21/100)*'Exhibit-A'!D23</f>
        <v>201.43154599999994</v>
      </c>
      <c r="F13" s="40">
        <f>+(F21/100)*'Exhibit-A'!E23</f>
        <v>237.68922427999993</v>
      </c>
      <c r="G13" s="40">
        <f>+(G21/100)*'Exhibit-A'!F23</f>
        <v>280.47328465039993</v>
      </c>
      <c r="H13" s="40">
        <f>+(H21/100)*'Exhibit-A'!G23</f>
        <v>308.52061311543991</v>
      </c>
      <c r="I13" s="40">
        <f>+(I21/100)*'Exhibit-A'!H23</f>
        <v>256.11913394038396</v>
      </c>
      <c r="J13" s="40">
        <f>+(J21/100)*'Exhibit-A'!I23</f>
        <v>266.3638992979993</v>
      </c>
      <c r="K13" s="51"/>
    </row>
    <row r="14" spans="1:11">
      <c r="A14" s="39" t="s">
        <v>24</v>
      </c>
      <c r="B14" s="38">
        <v>63.98</v>
      </c>
      <c r="C14" s="38">
        <f>'[1]Key Assumptions'!B18*'[1]Proforma '!C21/100</f>
        <v>76.516999999999996</v>
      </c>
      <c r="D14" s="40">
        <f>+(D21/100)*'Exhibit-A'!C24</f>
        <v>90.290059999999983</v>
      </c>
      <c r="E14" s="40">
        <f>+(E21/100)*'Exhibit-A'!D24</f>
        <v>106.54227079999997</v>
      </c>
      <c r="F14" s="40">
        <f>+(F21/100)*'Exhibit-A'!E24</f>
        <v>125.71987954399997</v>
      </c>
      <c r="G14" s="40">
        <f>+(G21/100)*'Exhibit-A'!F24</f>
        <v>148.34945786191994</v>
      </c>
      <c r="H14" s="40">
        <f>+(H21/100)*'Exhibit-A'!G24</f>
        <v>163.18440364811195</v>
      </c>
      <c r="I14" s="40">
        <f>+(I21/100)*'Exhibit-A'!H24</f>
        <v>169.71177979403643</v>
      </c>
      <c r="J14" s="40">
        <f>+(J21/100)*'Exhibit-A'!I24</f>
        <v>176.50025098579792</v>
      </c>
    </row>
    <row r="15" spans="1:11">
      <c r="A15" s="39" t="s">
        <v>25</v>
      </c>
      <c r="B15" s="38">
        <v>50.32</v>
      </c>
      <c r="C15" s="38">
        <f>C21*'[1]Key Assumptions'!B19/100</f>
        <v>55.51</v>
      </c>
      <c r="D15" s="40">
        <f>+(D21/100)*'Exhibit-A'!C25</f>
        <v>65.501799999999989</v>
      </c>
      <c r="E15" s="40">
        <f>E21*'[1]Key Assumptions'!D19/100</f>
        <v>77.292123999999973</v>
      </c>
      <c r="F15" s="40">
        <f>F21*'[1]Key Assumptions'!E19/100</f>
        <v>91.204706319999971</v>
      </c>
      <c r="G15" s="40">
        <f>G21*'[1]Key Assumptions'!F19/100</f>
        <v>107.62155345759997</v>
      </c>
      <c r="H15" s="40">
        <f>H21*'[1]Key Assumptions'!G19/100</f>
        <v>118.38370880335997</v>
      </c>
      <c r="I15" s="40">
        <f>I21*'[1]Key Assumptions'!H19/100</f>
        <v>123.11905715549437</v>
      </c>
      <c r="J15" s="40">
        <f>J21*'[1]Key Assumptions'!I19/100</f>
        <v>128.04381944171416</v>
      </c>
    </row>
    <row r="16" spans="1:11">
      <c r="A16" s="38" t="s">
        <v>0</v>
      </c>
      <c r="B16" s="38">
        <v>186.51</v>
      </c>
      <c r="C16" s="38">
        <f t="shared" ref="C16" si="2">C13+C15</f>
        <v>200.17499999999998</v>
      </c>
      <c r="D16" s="40">
        <f>D13+D15</f>
        <v>236.20649999999995</v>
      </c>
      <c r="E16" s="40">
        <f t="shared" ref="E16:J16" si="3">E13+E15</f>
        <v>278.72366999999991</v>
      </c>
      <c r="F16" s="40">
        <f t="shared" si="3"/>
        <v>328.89393059999992</v>
      </c>
      <c r="G16" s="40">
        <f t="shared" si="3"/>
        <v>388.09483810799992</v>
      </c>
      <c r="H16" s="40">
        <f t="shared" si="3"/>
        <v>426.90432191879989</v>
      </c>
      <c r="I16" s="40">
        <f t="shared" si="3"/>
        <v>379.23819109587834</v>
      </c>
      <c r="J16" s="40">
        <f t="shared" si="3"/>
        <v>394.40771873971346</v>
      </c>
    </row>
    <row r="17" spans="1:10" ht="15.75" thickBot="1">
      <c r="A17" s="38" t="s">
        <v>26</v>
      </c>
      <c r="B17" s="38">
        <v>35.03</v>
      </c>
      <c r="C17" s="38">
        <f>C16-C18-C14</f>
        <v>13.43112499999998</v>
      </c>
      <c r="D17" s="40">
        <f>IF(D16-D18-D14&lt;0,0,D16-D18-D14)</f>
        <v>8.8718524999999602</v>
      </c>
      <c r="E17" s="40">
        <f t="shared" ref="E17:J17" si="4">IF(E16-E18-E14&lt;0,0,E16-E18-E14)</f>
        <v>3.4919109499999337</v>
      </c>
      <c r="F17" s="40">
        <f t="shared" si="4"/>
        <v>0</v>
      </c>
      <c r="G17" s="40">
        <f t="shared" si="4"/>
        <v>0</v>
      </c>
      <c r="H17" s="40">
        <f t="shared" si="4"/>
        <v>0</v>
      </c>
      <c r="I17" s="40">
        <f t="shared" si="4"/>
        <v>0</v>
      </c>
      <c r="J17" s="40">
        <f t="shared" si="4"/>
        <v>0</v>
      </c>
    </row>
    <row r="18" spans="1:10" ht="15.75" thickBot="1">
      <c r="A18" s="38" t="s">
        <v>27</v>
      </c>
      <c r="B18" s="38">
        <v>87.5</v>
      </c>
      <c r="C18" s="38">
        <f>'[1]Proforma '!B18+'[1]Proforma '!C28</f>
        <v>110.22687500000001</v>
      </c>
      <c r="D18" s="41">
        <f>'[1]Proforma '!C18+'[1]Proforma '!D28</f>
        <v>137.04458750000001</v>
      </c>
      <c r="E18" s="42">
        <f>'[1]Proforma '!D18+'[1]Proforma '!E28</f>
        <v>168.68948825000001</v>
      </c>
      <c r="F18" s="42">
        <f>'[1]Proforma '!E18+'[1]Proforma '!F28</f>
        <v>206.03047113500003</v>
      </c>
      <c r="G18" s="42">
        <f>'[1]Proforma '!F18+'[1]Proforma '!G28</f>
        <v>250.09283093930003</v>
      </c>
      <c r="H18" s="42">
        <f>'[1]Proforma '!G18+'[1]Proforma '!H28</f>
        <v>298.56142672403001</v>
      </c>
      <c r="I18" s="42">
        <f>'[1]Proforma '!H18+'[1]Proforma '!I28</f>
        <v>328.27019272927976</v>
      </c>
      <c r="J18" s="43">
        <f>'[1]Proforma '!I18+'[1]Proforma '!J28</f>
        <v>359.16730937473949</v>
      </c>
    </row>
    <row r="19" spans="1:10">
      <c r="A19" s="38"/>
      <c r="B19" s="38">
        <v>2003</v>
      </c>
      <c r="C19" s="38">
        <v>2004</v>
      </c>
      <c r="D19" s="39"/>
      <c r="E19" s="39"/>
      <c r="F19" s="39"/>
      <c r="G19" s="39"/>
      <c r="H19" s="39"/>
      <c r="I19" s="39"/>
      <c r="J19" s="39"/>
    </row>
    <row r="20" spans="1:10">
      <c r="A20" s="37" t="s">
        <v>1</v>
      </c>
      <c r="B20" s="38"/>
      <c r="C20" s="38"/>
      <c r="D20" s="37">
        <f>C19+1</f>
        <v>2005</v>
      </c>
      <c r="E20" s="37">
        <f t="shared" ref="E20:J20" si="5">D20+1</f>
        <v>2006</v>
      </c>
      <c r="F20" s="37">
        <f t="shared" si="5"/>
        <v>2007</v>
      </c>
      <c r="G20" s="37">
        <f t="shared" si="5"/>
        <v>2008</v>
      </c>
      <c r="H20" s="37">
        <f t="shared" si="5"/>
        <v>2009</v>
      </c>
      <c r="I20" s="37">
        <f t="shared" si="5"/>
        <v>2010</v>
      </c>
      <c r="J20" s="37">
        <f t="shared" si="5"/>
        <v>2011</v>
      </c>
    </row>
    <row r="21" spans="1:10">
      <c r="A21" s="44" t="s">
        <v>2</v>
      </c>
      <c r="B21" s="38">
        <v>299.66000000000003</v>
      </c>
      <c r="C21" s="38">
        <v>372.5</v>
      </c>
      <c r="D21" s="40">
        <f>C21*('[1]Key Assumptions'!C11/100+1)</f>
        <v>439.54999999999995</v>
      </c>
      <c r="E21" s="40">
        <f>D21*('[1]Key Assumptions'!D11/100+1)</f>
        <v>518.66899999999987</v>
      </c>
      <c r="F21" s="40">
        <f>E21*('[1]Key Assumptions'!E11/100+1)</f>
        <v>612.02941999999985</v>
      </c>
      <c r="G21" s="40">
        <f>F21*('[1]Key Assumptions'!F11/100+1)</f>
        <v>722.19471559999977</v>
      </c>
      <c r="H21" s="40">
        <f>G21*('[1]Key Assumptions'!G11/100+1)</f>
        <v>794.41418715999976</v>
      </c>
      <c r="I21" s="40">
        <f>H21*('[1]Key Assumptions'!H11/100+1)</f>
        <v>826.1907546463998</v>
      </c>
      <c r="J21" s="40">
        <f>I21*('[1]Key Assumptions'!I11/100+1)</f>
        <v>859.23838483225586</v>
      </c>
    </row>
    <row r="22" spans="1:10">
      <c r="A22" s="38" t="s">
        <v>28</v>
      </c>
      <c r="B22" s="38">
        <v>179.87</v>
      </c>
      <c r="C22" s="38">
        <f>(C21*'[1]Key Assumptions'!B12/100)</f>
        <v>224.83000000000004</v>
      </c>
      <c r="D22" s="40">
        <f>D21*'[1]Key Assumptions'!C12/100</f>
        <v>265.29939999999999</v>
      </c>
      <c r="E22" s="40">
        <f>E21*'[1]Key Assumptions'!D12/100</f>
        <v>313.05329199999994</v>
      </c>
      <c r="F22" s="40">
        <f>F21*'[1]Key Assumptions'!E12/100</f>
        <v>369.40288455999996</v>
      </c>
      <c r="G22" s="40">
        <f>G21*'[1]Key Assumptions'!F12/100</f>
        <v>435.89540378079988</v>
      </c>
      <c r="H22" s="40">
        <f>H21*'[1]Key Assumptions'!G12/100</f>
        <v>479.4849441588799</v>
      </c>
      <c r="I22" s="40">
        <f>I21*'[1]Key Assumptions'!H12/100</f>
        <v>462.66682260198388</v>
      </c>
      <c r="J22" s="40">
        <f>J21*'[1]Key Assumptions'!I12/100</f>
        <v>481.17349550606326</v>
      </c>
    </row>
    <row r="23" spans="1:10">
      <c r="A23" s="38" t="s">
        <v>3</v>
      </c>
      <c r="B23" s="38">
        <v>141.79</v>
      </c>
      <c r="C23" s="38">
        <f>'[1]Key Assumptions'!B13*'[1]Proforma '!C21/100</f>
        <v>181.58</v>
      </c>
      <c r="D23" s="40">
        <f>'[1]Key Assumptions'!C13*'[1]Proforma '!D21/100</f>
        <v>214.26439999999999</v>
      </c>
      <c r="E23" s="40">
        <f>'[1]Key Assumptions'!D13*'[1]Proforma '!E21/100</f>
        <v>252.83199199999996</v>
      </c>
      <c r="F23" s="40">
        <f>'[1]Key Assumptions'!E13*'[1]Proforma '!F21/100</f>
        <v>298.34175055999992</v>
      </c>
      <c r="G23" s="40">
        <f>'[1]Key Assumptions'!F13*'[1]Proforma '!G21/100</f>
        <v>352.04326566079988</v>
      </c>
      <c r="H23" s="40">
        <f>'[1]Key Assumptions'!G13*'[1]Proforma '!H21/100</f>
        <v>387.24759222687993</v>
      </c>
      <c r="I23" s="40">
        <f>'[1]Key Assumptions'!H13*'[1]Proforma '!I21/100</f>
        <v>402.73749591595515</v>
      </c>
      <c r="J23" s="40">
        <f>'[1]Key Assumptions'!I13*'[1]Proforma '!J21/100</f>
        <v>418.84699575259333</v>
      </c>
    </row>
    <row r="24" spans="1:10">
      <c r="A24" s="38" t="s">
        <v>29</v>
      </c>
      <c r="B24" s="38">
        <v>7.58</v>
      </c>
      <c r="C24" s="38">
        <f>'[1]Key Assumptions'!B14*'[1]Proforma '!C21/100</f>
        <v>3.7250000000000001</v>
      </c>
      <c r="D24" s="40">
        <f>'[1]Key Assumptions'!C14*'[1]Proforma '!D21/100</f>
        <v>4.3954999999999993</v>
      </c>
      <c r="E24" s="40">
        <f>'[1]Key Assumptions'!D14*'[1]Proforma '!E21/100</f>
        <v>5.1866899999999987</v>
      </c>
      <c r="F24" s="40">
        <f>'[1]Key Assumptions'!E14*'[1]Proforma '!F21/100</f>
        <v>6.1202941999999982</v>
      </c>
      <c r="G24" s="40">
        <f>'[1]Key Assumptions'!F14*'[1]Proforma '!G21/100</f>
        <v>7.2219471559999979</v>
      </c>
      <c r="H24" s="40">
        <f>'[1]Key Assumptions'!G14*'[1]Proforma '!H21/100</f>
        <v>7.9441418715999976</v>
      </c>
      <c r="I24" s="40">
        <f>'[1]Key Assumptions'!H14*'[1]Proforma '!I21/100</f>
        <v>8.2619075464639984</v>
      </c>
      <c r="J24" s="40">
        <f>'[1]Key Assumptions'!I14*'[1]Proforma '!J21/100</f>
        <v>8.5923838483225587</v>
      </c>
    </row>
    <row r="25" spans="1:10">
      <c r="A25" s="38" t="s">
        <v>4</v>
      </c>
      <c r="B25" s="38">
        <f>B22-B23-B24</f>
        <v>30.500000000000014</v>
      </c>
      <c r="C25" s="38">
        <f t="shared" ref="C25:J25" si="6">C22-C23-C24</f>
        <v>39.525000000000027</v>
      </c>
      <c r="D25" s="40">
        <f t="shared" si="6"/>
        <v>46.639499999999998</v>
      </c>
      <c r="E25" s="40">
        <f t="shared" si="6"/>
        <v>55.034609999999986</v>
      </c>
      <c r="F25" s="40">
        <f t="shared" si="6"/>
        <v>64.940839800000035</v>
      </c>
      <c r="G25" s="40">
        <f t="shared" si="6"/>
        <v>76.630190964000008</v>
      </c>
      <c r="H25" s="40">
        <f t="shared" si="6"/>
        <v>84.293210060399971</v>
      </c>
      <c r="I25" s="40">
        <f t="shared" si="6"/>
        <v>51.667419139564728</v>
      </c>
      <c r="J25" s="40">
        <f t="shared" si="6"/>
        <v>53.734115905147377</v>
      </c>
    </row>
    <row r="26" spans="1:10">
      <c r="A26" s="38" t="s">
        <v>30</v>
      </c>
      <c r="B26" s="38">
        <f>B25*0.575</f>
        <v>17.537500000000009</v>
      </c>
      <c r="C26" s="38">
        <f>C25*0.575</f>
        <v>22.726875000000014</v>
      </c>
      <c r="D26" s="40">
        <f t="shared" ref="D26:J26" si="7">D25*0.575</f>
        <v>26.817712499999995</v>
      </c>
      <c r="E26" s="40">
        <f t="shared" si="7"/>
        <v>31.644900749999991</v>
      </c>
      <c r="F26" s="40">
        <f t="shared" si="7"/>
        <v>37.340982885000017</v>
      </c>
      <c r="G26" s="40">
        <f t="shared" si="7"/>
        <v>44.062359804300002</v>
      </c>
      <c r="H26" s="40">
        <f t="shared" si="7"/>
        <v>48.468595784729978</v>
      </c>
      <c r="I26" s="40">
        <f t="shared" si="7"/>
        <v>29.708766005249718</v>
      </c>
      <c r="J26" s="40">
        <f t="shared" si="7"/>
        <v>30.897116645459739</v>
      </c>
    </row>
    <row r="27" spans="1:10">
      <c r="A27" s="38" t="s">
        <v>31</v>
      </c>
      <c r="B27" s="38">
        <v>0</v>
      </c>
      <c r="C27" s="38">
        <v>0</v>
      </c>
      <c r="D27" s="40">
        <v>0</v>
      </c>
      <c r="E27" s="40">
        <v>0</v>
      </c>
      <c r="F27" s="40">
        <v>0</v>
      </c>
      <c r="G27" s="40">
        <v>0</v>
      </c>
      <c r="H27" s="40">
        <v>0</v>
      </c>
      <c r="I27" s="40">
        <v>0</v>
      </c>
      <c r="J27" s="40">
        <v>0</v>
      </c>
    </row>
    <row r="28" spans="1:10" hidden="1">
      <c r="A28" s="38" t="s">
        <v>32</v>
      </c>
      <c r="B28" s="38">
        <f>B26-B27</f>
        <v>17.537500000000009</v>
      </c>
      <c r="C28" s="38">
        <f t="shared" ref="C28:J28" si="8">C26-C27</f>
        <v>22.726875000000014</v>
      </c>
      <c r="D28" s="40">
        <f t="shared" si="8"/>
        <v>26.817712499999995</v>
      </c>
      <c r="E28" s="40">
        <f t="shared" si="8"/>
        <v>31.644900749999991</v>
      </c>
      <c r="F28" s="40">
        <f t="shared" si="8"/>
        <v>37.340982885000017</v>
      </c>
      <c r="G28" s="40">
        <f t="shared" si="8"/>
        <v>44.062359804300002</v>
      </c>
      <c r="H28" s="40">
        <f t="shared" si="8"/>
        <v>48.468595784729978</v>
      </c>
      <c r="I28" s="40">
        <f t="shared" si="8"/>
        <v>29.708766005249718</v>
      </c>
      <c r="J28" s="40">
        <f t="shared" si="8"/>
        <v>30.897116645459739</v>
      </c>
    </row>
    <row r="29" spans="1:10" hidden="1">
      <c r="A29" s="38"/>
      <c r="B29" s="38"/>
      <c r="C29" s="38"/>
      <c r="D29" s="40"/>
      <c r="E29" s="40"/>
      <c r="F29" s="40"/>
      <c r="G29" s="40"/>
      <c r="H29" s="40"/>
      <c r="I29" s="40"/>
      <c r="J29" s="40"/>
    </row>
    <row r="30" spans="1:10" hidden="1">
      <c r="A30" s="38" t="s">
        <v>33</v>
      </c>
      <c r="B30" s="38">
        <v>0.17053592772785137</v>
      </c>
      <c r="C30" s="38">
        <v>-2.6627126093718566E-3</v>
      </c>
      <c r="D30" s="40">
        <v>3.5809885399401484E-2</v>
      </c>
      <c r="E30" s="40">
        <v>6.0606060606060601E-2</v>
      </c>
      <c r="F30" s="40">
        <v>8.0808080808080815E-2</v>
      </c>
      <c r="G30" s="40">
        <v>0.10101010101010102</v>
      </c>
      <c r="H30" s="40">
        <v>0.10101010101010101</v>
      </c>
      <c r="I30" s="40">
        <v>7.0707070707070718E-2</v>
      </c>
      <c r="J30" s="40">
        <v>7.0707070707070704E-2</v>
      </c>
    </row>
    <row r="31" spans="1:10" hidden="1">
      <c r="A31" s="38" t="s">
        <v>34</v>
      </c>
      <c r="B31" s="38">
        <v>0.2097607655502394</v>
      </c>
      <c r="C31" s="38">
        <v>-6.0450698146737578E-2</v>
      </c>
      <c r="D31" s="40">
        <v>5.5721005012917837E-2</v>
      </c>
      <c r="E31" s="40">
        <v>0.1313642901687769</v>
      </c>
      <c r="F31" s="40">
        <v>0.1929926325292329</v>
      </c>
      <c r="G31" s="40">
        <v>0.25462097488968893</v>
      </c>
      <c r="H31" s="40">
        <v>0.25462097488968899</v>
      </c>
      <c r="I31" s="40">
        <v>0.16217846134900493</v>
      </c>
      <c r="J31" s="40">
        <v>0.16217846134900493</v>
      </c>
    </row>
    <row r="32" spans="1:10" hidden="1">
      <c r="A32" s="38" t="s">
        <v>35</v>
      </c>
      <c r="B32" s="38">
        <v>0.37661812297734598</v>
      </c>
      <c r="C32" s="38">
        <v>-4.2609462239203708E-3</v>
      </c>
      <c r="D32" s="40">
        <v>2.012854680045252</v>
      </c>
      <c r="E32" s="40">
        <v>9.0142436271279602E-2</v>
      </c>
      <c r="F32" s="40">
        <v>0.23</v>
      </c>
      <c r="G32" s="40">
        <v>0.23</v>
      </c>
      <c r="H32" s="40">
        <v>0.23</v>
      </c>
      <c r="I32" s="40">
        <v>3.9999999999999925E-2</v>
      </c>
      <c r="J32" s="40">
        <v>4.0000000000000098E-2</v>
      </c>
    </row>
    <row r="33" spans="1:10" hidden="1">
      <c r="A33" s="38" t="s">
        <v>36</v>
      </c>
      <c r="B33" s="38">
        <v>0.14307591336687811</v>
      </c>
      <c r="C33" s="38">
        <v>0.25645933014354078</v>
      </c>
      <c r="D33" s="40">
        <v>1.9518837268342061E-2</v>
      </c>
      <c r="E33" s="40">
        <v>9.0142436271279491E-2</v>
      </c>
      <c r="F33" s="40">
        <v>0.23</v>
      </c>
      <c r="G33" s="40">
        <v>0.23</v>
      </c>
      <c r="H33" s="40">
        <v>0.23</v>
      </c>
      <c r="I33" s="40">
        <v>0.04</v>
      </c>
      <c r="J33" s="40">
        <v>0.04</v>
      </c>
    </row>
    <row r="34" spans="1:10" hidden="1">
      <c r="A34" s="38" t="s">
        <v>37</v>
      </c>
      <c r="B34" s="38">
        <v>3.5768439612106961</v>
      </c>
      <c r="C34" s="38">
        <v>4.421720525306184</v>
      </c>
      <c r="D34" s="40">
        <v>1.7904942699700743</v>
      </c>
      <c r="E34" s="40">
        <v>2.0202020202020203</v>
      </c>
      <c r="F34" s="40">
        <v>2.0202020202020203</v>
      </c>
      <c r="G34" s="40">
        <v>2.0202020202020203</v>
      </c>
      <c r="H34" s="40">
        <v>2.0202020202020203</v>
      </c>
      <c r="I34" s="40">
        <v>2.0202020202020203</v>
      </c>
      <c r="J34" s="40">
        <v>2.0202020202020203</v>
      </c>
    </row>
    <row r="35" spans="1:10" hidden="1">
      <c r="A35" s="38"/>
      <c r="B35" s="38"/>
      <c r="C35" s="38"/>
      <c r="D35" s="40"/>
      <c r="E35" s="40"/>
      <c r="F35" s="40"/>
      <c r="G35" s="40"/>
      <c r="H35" s="40"/>
      <c r="I35" s="40"/>
      <c r="J35" s="40"/>
    </row>
    <row r="36" spans="1:10" hidden="1">
      <c r="A36" s="38" t="s">
        <v>38</v>
      </c>
      <c r="B36" s="38"/>
      <c r="C36" s="38"/>
      <c r="D36" s="40">
        <v>-11.093683353333327</v>
      </c>
      <c r="E36" s="40">
        <v>-37.704812394600012</v>
      </c>
      <c r="F36" s="40">
        <v>-40.845980754558006</v>
      </c>
      <c r="G36" s="40">
        <v>-43.437501984422333</v>
      </c>
      <c r="H36" s="40">
        <v>25.270625665048577</v>
      </c>
      <c r="I36" s="40">
        <v>13.227750016989692</v>
      </c>
      <c r="J36" s="40"/>
    </row>
    <row r="37" spans="1:10" hidden="1">
      <c r="A37" s="38" t="s">
        <v>39</v>
      </c>
      <c r="B37" s="38"/>
      <c r="C37" s="38"/>
      <c r="D37" s="40">
        <v>-2.3038749857092746</v>
      </c>
      <c r="E37" s="40">
        <v>-7.1969320963889771</v>
      </c>
      <c r="F37" s="40">
        <v>-3.3212879877584243</v>
      </c>
      <c r="G37" s="40">
        <v>2.7178701187411463</v>
      </c>
      <c r="H37" s="40">
        <v>29.140750220457036</v>
      </c>
      <c r="I37" s="40">
        <v>17.252679554614502</v>
      </c>
      <c r="J37" s="40"/>
    </row>
    <row r="38" spans="1:10" hidden="1">
      <c r="A38" s="38"/>
      <c r="B38" s="38"/>
      <c r="C38" s="38"/>
      <c r="D38" s="40"/>
      <c r="E38" s="40"/>
      <c r="F38" s="40"/>
      <c r="G38" s="40"/>
      <c r="H38" s="40"/>
      <c r="I38" s="40"/>
      <c r="J38" s="40"/>
    </row>
    <row r="39" spans="1:10" hidden="1">
      <c r="A39" s="38" t="s">
        <v>40</v>
      </c>
      <c r="B39" s="38"/>
      <c r="C39" s="38"/>
      <c r="D39" s="40">
        <v>0.92676945775645803</v>
      </c>
      <c r="E39" s="40">
        <v>0.8589016278301993</v>
      </c>
      <c r="F39" s="40">
        <v>0.79600379589033299</v>
      </c>
      <c r="G39" s="40">
        <v>0.73771200628936617</v>
      </c>
      <c r="H39" s="40">
        <v>0.68368895604922464</v>
      </c>
      <c r="I39" s="40">
        <v>0.6336220430718188</v>
      </c>
      <c r="J39" s="40">
        <v>0.58722155728020864</v>
      </c>
    </row>
    <row r="40" spans="1:10">
      <c r="A40" s="38" t="s">
        <v>41</v>
      </c>
      <c r="B40" s="38"/>
      <c r="C40" s="38"/>
      <c r="D40" s="40">
        <v>0.923361034164358</v>
      </c>
      <c r="E40" s="40">
        <v>0.85259559941307328</v>
      </c>
      <c r="F40" s="40">
        <v>0.78725355439803635</v>
      </c>
      <c r="G40" s="40">
        <v>0.72691925613853769</v>
      </c>
      <c r="H40" s="40">
        <v>0.67120891610206623</v>
      </c>
      <c r="I40" s="40">
        <v>0.61976815891234183</v>
      </c>
      <c r="J40" s="40">
        <v>0.57226976815544028</v>
      </c>
    </row>
    <row r="41" spans="1:10">
      <c r="A41" s="38" t="s">
        <v>42</v>
      </c>
      <c r="B41" s="38"/>
      <c r="C41" s="38"/>
      <c r="D41" s="40">
        <v>1</v>
      </c>
      <c r="E41" s="40">
        <v>1.0901424362712795</v>
      </c>
      <c r="F41" s="40">
        <v>1.3408751966136738</v>
      </c>
      <c r="G41" s="40">
        <v>1.6492764918348188</v>
      </c>
      <c r="H41" s="40">
        <v>2.0286100849568269</v>
      </c>
      <c r="I41" s="40">
        <v>2.1097544883551</v>
      </c>
      <c r="J41" s="40">
        <v>2.194144667889304</v>
      </c>
    </row>
    <row r="42" spans="1:10">
      <c r="A42" s="38" t="s">
        <v>43</v>
      </c>
      <c r="B42" s="38"/>
      <c r="C42" s="38"/>
      <c r="D42" s="40">
        <v>8.3000000000000004E-2</v>
      </c>
      <c r="E42" s="40">
        <v>8.3000000000000004E-2</v>
      </c>
      <c r="F42" s="40">
        <v>8.3000000000000004E-2</v>
      </c>
      <c r="G42" s="40">
        <v>8.3000000000000004E-2</v>
      </c>
      <c r="H42" s="40">
        <v>8.3000000000000004E-2</v>
      </c>
      <c r="I42" s="40">
        <v>8.3000000000000004E-2</v>
      </c>
      <c r="J42" s="40">
        <v>8.3000000000000004E-2</v>
      </c>
    </row>
    <row r="43" spans="1:10">
      <c r="A43" s="38" t="s">
        <v>44</v>
      </c>
      <c r="B43" s="38"/>
      <c r="C43" s="38"/>
      <c r="D43" s="40">
        <v>7.9017000000000004E-2</v>
      </c>
      <c r="E43" s="40">
        <v>7.901699999999999E-2</v>
      </c>
      <c r="F43" s="40">
        <v>7.901699999999999E-2</v>
      </c>
      <c r="G43" s="40">
        <v>7.901699999999999E-2</v>
      </c>
      <c r="H43" s="40">
        <v>7.901699999999999E-2</v>
      </c>
      <c r="I43" s="40">
        <v>7.901699999999999E-2</v>
      </c>
      <c r="J43" s="40">
        <v>7.901699999999999E-2</v>
      </c>
    </row>
    <row r="44" spans="1:10">
      <c r="A44" s="38"/>
      <c r="B44" s="38"/>
      <c r="C44" s="38"/>
      <c r="D44" s="39"/>
      <c r="E44" s="39"/>
      <c r="F44" s="39"/>
      <c r="G44" s="39"/>
      <c r="H44" s="39"/>
      <c r="I44" s="39"/>
      <c r="J44" s="39"/>
    </row>
    <row r="45" spans="1:10" s="4" customFormat="1" ht="12.75">
      <c r="A45" s="37" t="s">
        <v>45</v>
      </c>
      <c r="B45" s="37"/>
      <c r="C45" s="37"/>
      <c r="D45" s="37"/>
      <c r="E45" s="37"/>
      <c r="F45" s="37"/>
      <c r="G45" s="37"/>
      <c r="H45" s="37"/>
      <c r="I45" s="37"/>
      <c r="J45" s="37"/>
    </row>
    <row r="46" spans="1:10">
      <c r="A46" s="38" t="s">
        <v>5</v>
      </c>
      <c r="B46" s="38"/>
      <c r="C46" s="38"/>
      <c r="D46" s="40">
        <f t="shared" ref="D46:I46" si="9">D28</f>
        <v>26.817712499999995</v>
      </c>
      <c r="E46" s="40">
        <f t="shared" si="9"/>
        <v>31.644900749999991</v>
      </c>
      <c r="F46" s="40">
        <f t="shared" si="9"/>
        <v>37.340982885000017</v>
      </c>
      <c r="G46" s="40">
        <f t="shared" si="9"/>
        <v>44.062359804300002</v>
      </c>
      <c r="H46" s="40">
        <f t="shared" si="9"/>
        <v>48.468595784729978</v>
      </c>
      <c r="I46" s="40">
        <f t="shared" si="9"/>
        <v>29.708766005249718</v>
      </c>
      <c r="J46" s="39"/>
    </row>
    <row r="47" spans="1:10">
      <c r="A47" s="38" t="s">
        <v>46</v>
      </c>
      <c r="B47" s="38"/>
      <c r="C47" s="38"/>
      <c r="D47" s="40">
        <f t="shared" ref="D47:I47" si="10">(E13-E14)-(D13-D14)</f>
        <v>14.47463519999998</v>
      </c>
      <c r="E47" s="40">
        <f t="shared" si="10"/>
        <v>17.080069535999996</v>
      </c>
      <c r="F47" s="40">
        <f t="shared" si="10"/>
        <v>20.15448205248002</v>
      </c>
      <c r="G47" s="40">
        <f t="shared" si="10"/>
        <v>13.212382678847973</v>
      </c>
      <c r="H47" s="40">
        <f t="shared" si="10"/>
        <v>-58.928855320980432</v>
      </c>
      <c r="I47" s="40">
        <f t="shared" si="10"/>
        <v>3.4562941658538477</v>
      </c>
      <c r="J47" s="39"/>
    </row>
    <row r="48" spans="1:10">
      <c r="A48" s="38" t="s">
        <v>47</v>
      </c>
      <c r="B48" s="38"/>
      <c r="C48" s="38"/>
      <c r="D48" s="40">
        <f t="shared" ref="D48:I48" si="11">E15-D15</f>
        <v>11.790323999999984</v>
      </c>
      <c r="E48" s="40">
        <f t="shared" si="11"/>
        <v>13.912582319999999</v>
      </c>
      <c r="F48" s="40">
        <f t="shared" si="11"/>
        <v>16.416847137600001</v>
      </c>
      <c r="G48" s="40">
        <f t="shared" si="11"/>
        <v>10.762155345759993</v>
      </c>
      <c r="H48" s="40">
        <f t="shared" si="11"/>
        <v>4.7353483521344089</v>
      </c>
      <c r="I48" s="40">
        <f t="shared" si="11"/>
        <v>4.9247622862197886</v>
      </c>
      <c r="J48" s="39"/>
    </row>
    <row r="49" spans="1:10">
      <c r="A49" s="38" t="s">
        <v>48</v>
      </c>
      <c r="B49" s="38"/>
      <c r="C49" s="38"/>
      <c r="D49" s="40">
        <f>E14-D14</f>
        <v>16.252210799999986</v>
      </c>
      <c r="E49" s="40">
        <f t="shared" ref="E49:I49" si="12">F14-E14</f>
        <v>19.177608743999997</v>
      </c>
      <c r="F49" s="40">
        <f t="shared" si="12"/>
        <v>22.629578317919979</v>
      </c>
      <c r="G49" s="40">
        <f t="shared" si="12"/>
        <v>14.834945786192009</v>
      </c>
      <c r="H49" s="40">
        <f t="shared" si="12"/>
        <v>6.5273761459244781</v>
      </c>
      <c r="I49" s="40">
        <f t="shared" si="12"/>
        <v>6.7884711917614879</v>
      </c>
      <c r="J49" s="39"/>
    </row>
    <row r="50" spans="1:10">
      <c r="A50" s="38" t="s">
        <v>49</v>
      </c>
      <c r="B50" s="38"/>
      <c r="C50" s="38"/>
      <c r="D50" s="40">
        <v>0</v>
      </c>
      <c r="E50" s="40">
        <v>0</v>
      </c>
      <c r="F50" s="40">
        <v>0</v>
      </c>
      <c r="G50" s="40">
        <v>0</v>
      </c>
      <c r="H50" s="40">
        <v>0</v>
      </c>
      <c r="I50" s="40">
        <v>0</v>
      </c>
      <c r="J50" s="39"/>
    </row>
    <row r="51" spans="1:10">
      <c r="A51" s="38" t="s">
        <v>50</v>
      </c>
      <c r="B51" s="38"/>
      <c r="C51" s="38"/>
      <c r="D51" s="40">
        <f>D46-D47-D48+D49</f>
        <v>16.804964100000017</v>
      </c>
      <c r="E51" s="40">
        <f t="shared" ref="E51:I51" si="13">E46-E47-E48+E49</f>
        <v>19.829857637999993</v>
      </c>
      <c r="F51" s="40">
        <f t="shared" si="13"/>
        <v>23.399232012839974</v>
      </c>
      <c r="G51" s="40">
        <f t="shared" si="13"/>
        <v>34.922767565884044</v>
      </c>
      <c r="H51" s="40">
        <f t="shared" si="13"/>
        <v>109.18947889950049</v>
      </c>
      <c r="I51" s="40">
        <f t="shared" si="13"/>
        <v>28.116180744937569</v>
      </c>
      <c r="J51" s="39"/>
    </row>
    <row r="52" spans="1:10">
      <c r="A52" s="38" t="s">
        <v>51</v>
      </c>
      <c r="B52" s="38"/>
      <c r="C52" s="38"/>
      <c r="D52" s="40">
        <v>0.923361034164358</v>
      </c>
      <c r="E52" s="40">
        <v>0.85259559941307328</v>
      </c>
      <c r="F52" s="40">
        <v>0.78725355439803635</v>
      </c>
      <c r="G52" s="40">
        <v>0.72691925613853769</v>
      </c>
      <c r="H52" s="40">
        <v>0.67120891610206623</v>
      </c>
      <c r="I52" s="40">
        <v>0.67120891610206623</v>
      </c>
      <c r="J52" s="39"/>
    </row>
    <row r="53" spans="1:10">
      <c r="A53" s="38" t="s">
        <v>52</v>
      </c>
      <c r="B53" s="38"/>
      <c r="C53" s="38"/>
      <c r="D53" s="40">
        <f t="shared" ref="D53:I53" si="14">D51*D52</f>
        <v>15.517049030470925</v>
      </c>
      <c r="E53" s="40">
        <f t="shared" si="14"/>
        <v>16.906849359146513</v>
      </c>
      <c r="F53" s="40">
        <f t="shared" si="14"/>
        <v>18.421128572292588</v>
      </c>
      <c r="G53" s="40">
        <f t="shared" si="14"/>
        <v>25.38603222129148</v>
      </c>
      <c r="H53" s="40">
        <f t="shared" si="14"/>
        <v>73.288951781883156</v>
      </c>
      <c r="I53" s="40">
        <f t="shared" si="14"/>
        <v>18.87183120273933</v>
      </c>
      <c r="J53" s="39"/>
    </row>
    <row r="54" spans="1:10">
      <c r="A54" s="38"/>
      <c r="B54" s="38"/>
      <c r="C54" s="38"/>
      <c r="D54" s="45"/>
      <c r="E54" s="45"/>
      <c r="F54" s="45"/>
      <c r="G54" s="45"/>
      <c r="H54" s="45"/>
      <c r="I54" s="45"/>
      <c r="J54" s="39"/>
    </row>
    <row r="55" spans="1:10">
      <c r="A55" s="38" t="s">
        <v>53</v>
      </c>
      <c r="B55" s="38"/>
      <c r="C55" s="38"/>
      <c r="D55" s="40">
        <f>SUM(D53:H53)</f>
        <v>149.52001096508465</v>
      </c>
      <c r="E55" s="45"/>
      <c r="F55" s="45"/>
      <c r="G55" s="45"/>
      <c r="H55" s="45"/>
      <c r="I55" s="45"/>
      <c r="J55" s="39"/>
    </row>
    <row r="56" spans="1:10" ht="15.75" thickBot="1">
      <c r="A56" s="38" t="s">
        <v>54</v>
      </c>
      <c r="B56" s="38"/>
      <c r="C56" s="38"/>
      <c r="D56" s="40">
        <f>(I51*(100+'[1]Key Assumptions'!H11)/100/(8.3-'[1]Key Assumptions'!H11)*100+I51)/(1.083)^6</f>
        <v>438.87979541254253</v>
      </c>
      <c r="E56" s="45"/>
      <c r="F56" s="45"/>
      <c r="G56" s="45"/>
      <c r="H56" s="45"/>
      <c r="I56" s="45"/>
      <c r="J56" s="39"/>
    </row>
    <row r="57" spans="1:10" ht="15.75" thickBot="1">
      <c r="A57" s="38" t="s">
        <v>55</v>
      </c>
      <c r="B57" s="38"/>
      <c r="C57" s="38"/>
      <c r="D57" s="46">
        <f>D55+D56</f>
        <v>588.39980637762721</v>
      </c>
      <c r="E57" s="45"/>
      <c r="F57" s="45"/>
      <c r="G57" s="45"/>
      <c r="H57" s="45"/>
      <c r="I57" s="45"/>
      <c r="J57" s="39"/>
    </row>
    <row r="58" spans="1:10">
      <c r="A58" s="38"/>
      <c r="B58" s="38"/>
      <c r="C58" s="38"/>
      <c r="D58" s="40"/>
      <c r="E58" s="45"/>
      <c r="F58" s="45"/>
      <c r="G58" s="45"/>
      <c r="H58" s="45"/>
      <c r="I58" s="45"/>
      <c r="J58" s="39"/>
    </row>
    <row r="59" spans="1:10">
      <c r="A59" s="38" t="s">
        <v>56</v>
      </c>
      <c r="B59" s="38"/>
      <c r="C59" s="38"/>
      <c r="D59" s="40">
        <v>13.5</v>
      </c>
      <c r="E59" s="45"/>
      <c r="F59" s="45"/>
      <c r="G59" s="45"/>
      <c r="H59" s="45"/>
      <c r="I59" s="45"/>
      <c r="J59" s="39"/>
    </row>
    <row r="60" spans="1:10" ht="15.75" thickBot="1">
      <c r="A60" s="38"/>
      <c r="B60" s="38"/>
      <c r="C60" s="38"/>
      <c r="D60" s="40"/>
      <c r="E60" s="45"/>
      <c r="F60" s="45"/>
      <c r="G60" s="45"/>
      <c r="H60" s="45"/>
      <c r="I60" s="45"/>
      <c r="J60" s="39"/>
    </row>
    <row r="61" spans="1:10" ht="15.75" thickBot="1">
      <c r="A61" s="38" t="s">
        <v>57</v>
      </c>
      <c r="B61" s="38"/>
      <c r="C61" s="38"/>
      <c r="D61" s="47">
        <f>D57/D59</f>
        <v>43.5851708427872</v>
      </c>
      <c r="E61" s="45"/>
      <c r="F61" s="45"/>
      <c r="G61" s="45"/>
      <c r="H61" s="45"/>
      <c r="I61" s="45"/>
      <c r="J61" s="39"/>
    </row>
    <row r="62" spans="1:10">
      <c r="D62" s="6"/>
    </row>
  </sheetData>
  <mergeCells count="2">
    <mergeCell ref="D2:H2"/>
    <mergeCell ref="I2:J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Exhibit-A</vt:lpstr>
      <vt:lpstr>Exhibit-B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Worker</dc:creator>
  <cp:lastModifiedBy>Worker</cp:lastModifiedBy>
  <dcterms:created xsi:type="dcterms:W3CDTF">2014-05-03T06:23:49Z</dcterms:created>
  <dcterms:modified xsi:type="dcterms:W3CDTF">2014-05-03T13:00:38Z</dcterms:modified>
</cp:coreProperties>
</file>